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drawings/drawing13.xml" ContentType="application/vnd.openxmlformats-officedocument.drawingml.chartshapes+xml"/>
  <Override PartName="/xl/charts/chart15.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S:\DA\05_Produkte\EU-PM_Ueberblicksbericht\"/>
    </mc:Choice>
  </mc:AlternateContent>
  <xr:revisionPtr revIDLastSave="0" documentId="13_ncr:1_{C7B0082A-51DF-4021-BD67-BADEF9AD34CA}" xr6:coauthVersionLast="47" xr6:coauthVersionMax="47" xr10:uidLastSave="{00000000-0000-0000-0000-000000000000}"/>
  <bookViews>
    <workbookView xWindow="-120" yWindow="-120" windowWidth="29040" windowHeight="15720" tabRatio="744" firstSheet="17" activeTab="17" xr2:uid="{00000000-000D-0000-FFFF-FFFF00000000}"/>
  </bookViews>
  <sheets>
    <sheet name="Deckblatt" sheetId="80" r:id="rId1"/>
    <sheet name="Zwischenblatt" sheetId="101" r:id="rId2"/>
    <sheet name="Excec_Summary (2)" sheetId="96" r:id="rId3"/>
    <sheet name="001_Eckdaten_AT" sheetId="1" r:id="rId4"/>
    <sheet name="002_Verteilung_Budget" sheetId="3" r:id="rId5"/>
    <sheet name="003_Bet_AT_Saeulen" sheetId="5" r:id="rId6"/>
    <sheet name="003_Bet_AT_Saeulen (2)" sheetId="127" r:id="rId7"/>
    <sheet name="uebb008_ExScience" sheetId="6" r:id="rId8"/>
    <sheet name="Instrumente ERC_MSCA" sheetId="128" r:id="rId9"/>
    <sheet name="uebb_Challenges" sheetId="105" r:id="rId10"/>
    <sheet name="uebb_Challenges_schwerpkte" sheetId="107" r:id="rId11"/>
    <sheet name="uebb_Innov Europe" sheetId="106" r:id="rId12"/>
    <sheet name="Calls_Saeule3" sheetId="124" r:id="rId13"/>
    <sheet name="uebb_Widera" sheetId="118" r:id="rId14"/>
    <sheet name="uebb015_Bet_AT_Orgtypen" sheetId="10" r:id="rId15"/>
    <sheet name="uebb_AT_Orgtypen_KMU" sheetId="79" r:id="rId16"/>
    <sheet name="uebb060_Erfquoten_Orgtypen" sheetId="41" r:id="rId17"/>
    <sheet name="uebb038_Landkarte_Bundeslae" sheetId="119" r:id="rId18"/>
    <sheet name="uebbneu_Factsheet_AT" sheetId="28" r:id="rId19"/>
    <sheet name="uebbneu_Factsheet_Bgl" sheetId="109" r:id="rId20"/>
    <sheet name="uebbneu_Factsheet_Ktn" sheetId="110" r:id="rId21"/>
    <sheet name="uebbneu_Factsheet_Noe" sheetId="111" r:id="rId22"/>
    <sheet name="uebbneu_Factsheet_Ooe" sheetId="112" r:id="rId23"/>
    <sheet name="uebbneu_Factsheet_Sbg" sheetId="113" r:id="rId24"/>
    <sheet name="uebbneu_Factsheet_Stmk" sheetId="114" r:id="rId25"/>
    <sheet name="uebbneu_Factsheet_T" sheetId="115" r:id="rId26"/>
    <sheet name="uebbneu_Factsheet_V" sheetId="116" r:id="rId27"/>
    <sheet name="uebbneu_Factsheet_W" sheetId="117" r:id="rId28"/>
    <sheet name="uebb022_Karte_EU27_Eckdaten_Sta" sheetId="13" r:id="rId29"/>
    <sheet name="uebb24_Betanteile_EU27" sheetId="12" r:id="rId30"/>
    <sheet name="Assoziierte_Bet_€" sheetId="122" r:id="rId31"/>
    <sheet name="Drittstaaten" sheetId="121" r:id="rId32"/>
    <sheet name="zz_Zwischenblatt_Anhang" sheetId="34" r:id="rId33"/>
    <sheet name="Alle_EU27_AT_Programme_Eckdaten" sheetId="18" r:id="rId34"/>
    <sheet name="Alle_EU27_AT_Programme_Einreich" sheetId="102" r:id="rId35"/>
    <sheet name="Alle_AT_Programme_Anteile" sheetId="103" r:id="rId36"/>
    <sheet name="uebb069_Bundesland_Program_Bet" sheetId="42" r:id="rId37"/>
    <sheet name="uebb069_Bundesland_Program_€" sheetId="43" r:id="rId38"/>
    <sheet name="uebb069_Bundesland_Program_ Koo" sheetId="44" r:id="rId39"/>
    <sheet name="uebb058_Eckdaten EU-Mitgliedsta" sheetId="22" r:id="rId40"/>
    <sheet name="uebbneu_Erfolgsquoten_EU28" sheetId="45" r:id="rId41"/>
    <sheet name="zz_Gloss_Struktur" sheetId="32" r:id="rId42"/>
  </sheets>
  <definedNames>
    <definedName name="_paloimportactive">FALSE</definedName>
    <definedName name="_palopasteviewcolwidth" localSheetId="3" hidden="1">14</definedName>
    <definedName name="_palopasteviewcolwidth" localSheetId="4" hidden="1">14</definedName>
    <definedName name="_palopasteviewcolwidth" localSheetId="5" hidden="1">14</definedName>
    <definedName name="_palopasteviewcolwidth" localSheetId="6" hidden="1">14</definedName>
    <definedName name="_palopasteviewcolwidth" localSheetId="35" hidden="1">14</definedName>
    <definedName name="_palopasteviewcolwidth" localSheetId="33" hidden="1">14</definedName>
    <definedName name="_palopasteviewcolwidth" localSheetId="34" hidden="1">14</definedName>
    <definedName name="_palopasteviewcolwidth" localSheetId="30" hidden="1">14</definedName>
    <definedName name="_palopasteviewcolwidth" localSheetId="31" hidden="1">14</definedName>
    <definedName name="_palopasteviewcolwidth" localSheetId="15" hidden="1">14</definedName>
    <definedName name="_palopasteviewcolwidth" localSheetId="9" hidden="1">14</definedName>
    <definedName name="_palopasteviewcolwidth" localSheetId="10" hidden="1">14</definedName>
    <definedName name="_palopasteviewcolwidth" localSheetId="11" hidden="1">14</definedName>
    <definedName name="_palopasteviewcolwidth" localSheetId="13" hidden="1">14</definedName>
    <definedName name="_palopasteviewcolwidth" localSheetId="7" hidden="1">14</definedName>
    <definedName name="_palopasteviewcolwidth" localSheetId="14" hidden="1">14</definedName>
    <definedName name="_palopasteviewcolwidth" localSheetId="28" hidden="1">14</definedName>
    <definedName name="_palopasteviewcolwidth" localSheetId="17" hidden="1">14</definedName>
    <definedName name="_palopasteviewcolwidth" localSheetId="39" hidden="1">14</definedName>
    <definedName name="_palopasteviewcolwidth" localSheetId="16" hidden="1">14</definedName>
    <definedName name="_palopasteviewcolwidth" localSheetId="38" hidden="1">14</definedName>
    <definedName name="_palopasteviewcolwidth" localSheetId="37" hidden="1">14</definedName>
    <definedName name="_palopasteviewcolwidth" localSheetId="36" hidden="1">14</definedName>
    <definedName name="_palopasteviewcolwidth" localSheetId="29" hidden="1">14</definedName>
    <definedName name="_palopasteviewcolwidth" localSheetId="40" hidden="1">14</definedName>
    <definedName name="_palopasteviewcolwidth" localSheetId="18" hidden="1">14</definedName>
    <definedName name="_palopasteviewcolwidth" localSheetId="19" hidden="1">14</definedName>
    <definedName name="_palopasteviewcolwidth" localSheetId="20" hidden="1">14</definedName>
    <definedName name="_palopasteviewcolwidth" localSheetId="21" hidden="1">14</definedName>
    <definedName name="_palopasteviewcolwidth" localSheetId="22" hidden="1">14</definedName>
    <definedName name="_palopasteviewcolwidth" localSheetId="23" hidden="1">14</definedName>
    <definedName name="_palopasteviewcolwidth" localSheetId="24" hidden="1">14</definedName>
    <definedName name="_palopasteviewcolwidth" localSheetId="25" hidden="1">14</definedName>
    <definedName name="_palopasteviewcolwidth" localSheetId="26" hidden="1">14</definedName>
    <definedName name="_palopasteviewcolwidth" localSheetId="27" hidden="1">14</definedName>
    <definedName name="_palopasteviewident" localSheetId="3" hidden="1">TRUE</definedName>
    <definedName name="_palopasteviewident" localSheetId="4" hidden="1">TRUE</definedName>
    <definedName name="_palopasteviewident" localSheetId="5" hidden="1">TRUE</definedName>
    <definedName name="_palopasteviewident" localSheetId="6" hidden="1">TRUE</definedName>
    <definedName name="_palopasteviewident" localSheetId="35" hidden="1">TRUE</definedName>
    <definedName name="_palopasteviewident" localSheetId="33" hidden="1">TRUE</definedName>
    <definedName name="_palopasteviewident" localSheetId="34" hidden="1">TRUE</definedName>
    <definedName name="_palopasteviewident" localSheetId="30" hidden="1">TRUE</definedName>
    <definedName name="_palopasteviewident" localSheetId="31" hidden="1">TRUE</definedName>
    <definedName name="_palopasteviewident" localSheetId="15" hidden="1">TRUE</definedName>
    <definedName name="_palopasteviewident" localSheetId="9" hidden="1">TRUE</definedName>
    <definedName name="_palopasteviewident" localSheetId="10" hidden="1">TRUE</definedName>
    <definedName name="_palopasteviewident" localSheetId="11" hidden="1">TRUE</definedName>
    <definedName name="_palopasteviewident" localSheetId="13" hidden="1">TRUE</definedName>
    <definedName name="_palopasteviewident" localSheetId="7" hidden="1">TRUE</definedName>
    <definedName name="_palopasteviewident" localSheetId="14" hidden="1">TRUE</definedName>
    <definedName name="_palopasteviewident" localSheetId="28" hidden="1">TRUE</definedName>
    <definedName name="_palopasteviewident" localSheetId="17" hidden="1">TRUE</definedName>
    <definedName name="_palopasteviewident" localSheetId="39" hidden="1">TRUE</definedName>
    <definedName name="_palopasteviewident" localSheetId="16" hidden="1">TRUE</definedName>
    <definedName name="_palopasteviewident" localSheetId="38" hidden="1">TRUE</definedName>
    <definedName name="_palopasteviewident" localSheetId="37" hidden="1">TRUE</definedName>
    <definedName name="_palopasteviewident" localSheetId="36" hidden="1">TRUE</definedName>
    <definedName name="_palopasteviewident" localSheetId="29" hidden="1">TRUE</definedName>
    <definedName name="_palopasteviewident" localSheetId="40" hidden="1">TRUE</definedName>
    <definedName name="_palopasteviewident" localSheetId="18" hidden="1">TRUE</definedName>
    <definedName name="_palopasteviewident" localSheetId="19" hidden="1">TRUE</definedName>
    <definedName name="_palopasteviewident" localSheetId="20" hidden="1">TRUE</definedName>
    <definedName name="_palopasteviewident" localSheetId="21" hidden="1">TRUE</definedName>
    <definedName name="_palopasteviewident" localSheetId="22" hidden="1">TRUE</definedName>
    <definedName name="_palopasteviewident" localSheetId="23" hidden="1">TRUE</definedName>
    <definedName name="_palopasteviewident" localSheetId="24" hidden="1">TRUE</definedName>
    <definedName name="_palopasteviewident" localSheetId="25" hidden="1">TRUE</definedName>
    <definedName name="_palopasteviewident" localSheetId="26" hidden="1">TRUE</definedName>
    <definedName name="_palopasteviewident" localSheetId="27" hidden="1">TRUE</definedName>
    <definedName name="_palopasteviewstyle" localSheetId="3" hidden="1">"Standard_Ice"</definedName>
    <definedName name="_palopasteviewstyle" localSheetId="4" hidden="1">"Standard_Ice"</definedName>
    <definedName name="_palopasteviewstyle" localSheetId="5" hidden="1">"Standard_Ice"</definedName>
    <definedName name="_palopasteviewstyle" localSheetId="6" hidden="1">"Standard_Ice"</definedName>
    <definedName name="_palopasteviewstyle" localSheetId="35" hidden="1">"Standard_Ice"</definedName>
    <definedName name="_palopasteviewstyle" localSheetId="33" hidden="1">"Standard_Ice"</definedName>
    <definedName name="_palopasteviewstyle" localSheetId="34" hidden="1">"Standard_Ice"</definedName>
    <definedName name="_palopasteviewstyle" localSheetId="30" hidden="1">"Standard_Ice"</definedName>
    <definedName name="_palopasteviewstyle" localSheetId="31" hidden="1">"Standard_Ice"</definedName>
    <definedName name="_palopasteviewstyle" localSheetId="15" hidden="1">"Standard_Ice"</definedName>
    <definedName name="_palopasteviewstyle" localSheetId="9" hidden="1">"Standard_Ice"</definedName>
    <definedName name="_palopasteviewstyle" localSheetId="10" hidden="1">"Standard_Ice"</definedName>
    <definedName name="_palopasteviewstyle" localSheetId="11" hidden="1">"Standard_Ice"</definedName>
    <definedName name="_palopasteviewstyle" localSheetId="13" hidden="1">"Standard_Ice"</definedName>
    <definedName name="_palopasteviewstyle" localSheetId="7" hidden="1">"Standard_Ice"</definedName>
    <definedName name="_palopasteviewstyle" localSheetId="14" hidden="1">"Standard_Ice"</definedName>
    <definedName name="_palopasteviewstyle" localSheetId="28" hidden="1">"Standard_Ice"</definedName>
    <definedName name="_palopasteviewstyle" localSheetId="17" hidden="1">"Standard_Ice"</definedName>
    <definedName name="_palopasteviewstyle" localSheetId="39" hidden="1">"Standard_Ice"</definedName>
    <definedName name="_palopasteviewstyle" localSheetId="16" hidden="1">"Standard_Ice"</definedName>
    <definedName name="_palopasteviewstyle" localSheetId="38" hidden="1">"Standard_Ice"</definedName>
    <definedName name="_palopasteviewstyle" localSheetId="37" hidden="1">"Standard_Ice"</definedName>
    <definedName name="_palopasteviewstyle" localSheetId="36" hidden="1">"Standard_Ice"</definedName>
    <definedName name="_palopasteviewstyle" localSheetId="29" hidden="1">"Standard_Ice"</definedName>
    <definedName name="_palopasteviewstyle" localSheetId="40" hidden="1">"Standard_Ice"</definedName>
    <definedName name="_palopasteviewstyle" localSheetId="18" hidden="1">"Standard_Ice"</definedName>
    <definedName name="_palopasteviewstyle" localSheetId="19" hidden="1">"Standard_Ice"</definedName>
    <definedName name="_palopasteviewstyle" localSheetId="20" hidden="1">"Standard_Ice"</definedName>
    <definedName name="_palopasteviewstyle" localSheetId="21" hidden="1">"Standard_Ice"</definedName>
    <definedName name="_palopasteviewstyle" localSheetId="22" hidden="1">"Standard_Ice"</definedName>
    <definedName name="_palopasteviewstyle" localSheetId="23" hidden="1">"Standard_Ice"</definedName>
    <definedName name="_palopasteviewstyle" localSheetId="24" hidden="1">"Standard_Ice"</definedName>
    <definedName name="_palopasteviewstyle" localSheetId="25" hidden="1">"Standard_Ice"</definedName>
    <definedName name="_palopasteviewstyle" localSheetId="26" hidden="1">"Standard_Ice"</definedName>
    <definedName name="_palopasteviewstyle" localSheetId="27" hidden="1">"Standard_Ice"</definedName>
    <definedName name="_palopasteviewzerosuppression" localSheetId="3" hidden="1">FALSE</definedName>
    <definedName name="_palopasteviewzerosuppression" localSheetId="4" hidden="1">FALSE</definedName>
    <definedName name="_palopasteviewzerosuppression" localSheetId="5" hidden="1">FALSE</definedName>
    <definedName name="_palopasteviewzerosuppression" localSheetId="6" hidden="1">FALSE</definedName>
    <definedName name="_palopasteviewzerosuppression" localSheetId="35" hidden="1">FALSE</definedName>
    <definedName name="_palopasteviewzerosuppression" localSheetId="33" hidden="1">FALSE</definedName>
    <definedName name="_palopasteviewzerosuppression" localSheetId="34" hidden="1">FALSE</definedName>
    <definedName name="_palopasteviewzerosuppression" localSheetId="30" hidden="1">FALSE</definedName>
    <definedName name="_palopasteviewzerosuppression" localSheetId="31" hidden="1">FALSE</definedName>
    <definedName name="_palopasteviewzerosuppression" localSheetId="15" hidden="1">FALSE</definedName>
    <definedName name="_palopasteviewzerosuppression" localSheetId="9" hidden="1">FALSE</definedName>
    <definedName name="_palopasteviewzerosuppression" localSheetId="10" hidden="1">FALSE</definedName>
    <definedName name="_palopasteviewzerosuppression" localSheetId="11" hidden="1">FALSE</definedName>
    <definedName name="_palopasteviewzerosuppression" localSheetId="13" hidden="1">FALSE</definedName>
    <definedName name="_palopasteviewzerosuppression" localSheetId="7" hidden="1">FALSE</definedName>
    <definedName name="_palopasteviewzerosuppression" localSheetId="14" hidden="1">FALSE</definedName>
    <definedName name="_palopasteviewzerosuppression" localSheetId="28" hidden="1">FALSE</definedName>
    <definedName name="_palopasteviewzerosuppression" localSheetId="17" hidden="1">FALSE</definedName>
    <definedName name="_palopasteviewzerosuppression" localSheetId="39" hidden="1">FALSE</definedName>
    <definedName name="_palopasteviewzerosuppression" localSheetId="16" hidden="1">FALSE</definedName>
    <definedName name="_palopasteviewzerosuppression" localSheetId="38" hidden="1">FALSE</definedName>
    <definedName name="_palopasteviewzerosuppression" localSheetId="37" hidden="1">FALSE</definedName>
    <definedName name="_palopasteviewzerosuppression" localSheetId="36" hidden="1">FALSE</definedName>
    <definedName name="_palopasteviewzerosuppression" localSheetId="29" hidden="1">FALSE</definedName>
    <definedName name="_palopasteviewzerosuppression" localSheetId="40" hidden="1">FALSE</definedName>
    <definedName name="_palopasteviewzerosuppression" localSheetId="18" hidden="1">FALSE</definedName>
    <definedName name="_palopasteviewzerosuppression" localSheetId="19" hidden="1">FALSE</definedName>
    <definedName name="_palopasteviewzerosuppression" localSheetId="20" hidden="1">FALSE</definedName>
    <definedName name="_palopasteviewzerosuppression" localSheetId="21" hidden="1">FALSE</definedName>
    <definedName name="_palopasteviewzerosuppression" localSheetId="22" hidden="1">FALSE</definedName>
    <definedName name="_palopasteviewzerosuppression" localSheetId="23" hidden="1">FALSE</definedName>
    <definedName name="_palopasteviewzerosuppression" localSheetId="24" hidden="1">FALSE</definedName>
    <definedName name="_palopasteviewzerosuppression" localSheetId="25" hidden="1">FALSE</definedName>
    <definedName name="_palopasteviewzerosuppression" localSheetId="26" hidden="1">FALSE</definedName>
    <definedName name="_palopasteviewzerosuppression" localSheetId="27" hidden="1">FALSE</definedName>
    <definedName name="_palopasteviewzerosuppressionalsocalculatednull" localSheetId="3" hidden="1">FALSE</definedName>
    <definedName name="_palopasteviewzerosuppressionalsocalculatednull" localSheetId="4" hidden="1">FALSE</definedName>
    <definedName name="_palopasteviewzerosuppressionalsocalculatednull" localSheetId="5" hidden="1">FALSE</definedName>
    <definedName name="_palopasteviewzerosuppressionalsocalculatednull" localSheetId="6" hidden="1">FALSE</definedName>
    <definedName name="_palopasteviewzerosuppressionalsocalculatednull" localSheetId="35" hidden="1">FALSE</definedName>
    <definedName name="_palopasteviewzerosuppressionalsocalculatednull" localSheetId="33" hidden="1">FALSE</definedName>
    <definedName name="_palopasteviewzerosuppressionalsocalculatednull" localSheetId="34" hidden="1">FALSE</definedName>
    <definedName name="_palopasteviewzerosuppressionalsocalculatednull" localSheetId="30" hidden="1">FALSE</definedName>
    <definedName name="_palopasteviewzerosuppressionalsocalculatednull" localSheetId="31" hidden="1">FALSE</definedName>
    <definedName name="_palopasteviewzerosuppressionalsocalculatednull" localSheetId="15" hidden="1">FALSE</definedName>
    <definedName name="_palopasteviewzerosuppressionalsocalculatednull" localSheetId="9" hidden="1">FALSE</definedName>
    <definedName name="_palopasteviewzerosuppressionalsocalculatednull" localSheetId="10" hidden="1">FALSE</definedName>
    <definedName name="_palopasteviewzerosuppressionalsocalculatednull" localSheetId="11" hidden="1">FALSE</definedName>
    <definedName name="_palopasteviewzerosuppressionalsocalculatednull" localSheetId="13" hidden="1">FALSE</definedName>
    <definedName name="_palopasteviewzerosuppressionalsocalculatednull" localSheetId="7" hidden="1">FALSE</definedName>
    <definedName name="_palopasteviewzerosuppressionalsocalculatednull" localSheetId="14" hidden="1">FALSE</definedName>
    <definedName name="_palopasteviewzerosuppressionalsocalculatednull" localSheetId="28" hidden="1">FALSE</definedName>
    <definedName name="_palopasteviewzerosuppressionalsocalculatednull" localSheetId="17" hidden="1">FALSE</definedName>
    <definedName name="_palopasteviewzerosuppressionalsocalculatednull" localSheetId="39" hidden="1">FALSE</definedName>
    <definedName name="_palopasteviewzerosuppressionalsocalculatednull" localSheetId="16" hidden="1">FALSE</definedName>
    <definedName name="_palopasteviewzerosuppressionalsocalculatednull" localSheetId="38" hidden="1">FALSE</definedName>
    <definedName name="_palopasteviewzerosuppressionalsocalculatednull" localSheetId="37" hidden="1">FALSE</definedName>
    <definedName name="_palopasteviewzerosuppressionalsocalculatednull" localSheetId="36" hidden="1">FALSE</definedName>
    <definedName name="_palopasteviewzerosuppressionalsocalculatednull" localSheetId="29" hidden="1">FALSE</definedName>
    <definedName name="_palopasteviewzerosuppressionalsocalculatednull" localSheetId="40" hidden="1">FALSE</definedName>
    <definedName name="_palopasteviewzerosuppressionalsocalculatednull" localSheetId="18" hidden="1">FALSE</definedName>
    <definedName name="_palopasteviewzerosuppressionalsocalculatednull" localSheetId="19" hidden="1">FALSE</definedName>
    <definedName name="_palopasteviewzerosuppressionalsocalculatednull" localSheetId="20" hidden="1">FALSE</definedName>
    <definedName name="_palopasteviewzerosuppressionalsocalculatednull" localSheetId="21" hidden="1">FALSE</definedName>
    <definedName name="_palopasteviewzerosuppressionalsocalculatednull" localSheetId="22" hidden="1">FALSE</definedName>
    <definedName name="_palopasteviewzerosuppressionalsocalculatednull" localSheetId="23" hidden="1">FALSE</definedName>
    <definedName name="_palopasteviewzerosuppressionalsocalculatednull" localSheetId="24" hidden="1">FALSE</definedName>
    <definedName name="_palopasteviewzerosuppressionalsocalculatednull" localSheetId="25" hidden="1">FALSE</definedName>
    <definedName name="_palopasteviewzerosuppressionalsocalculatednull" localSheetId="26" hidden="1">FALSE</definedName>
    <definedName name="_palopasteviewzerosuppressionalsocalculatednull" localSheetId="27" hidden="1">FALSE</definedName>
    <definedName name="AT_ExSc_Datenstand" localSheetId="8">uebb008_ExScience!$E$58</definedName>
    <definedName name="AT_ExSc_Datenstand" localSheetId="9">uebb_Challenges!$E$61</definedName>
    <definedName name="AT_ExSc_Datenstand" localSheetId="11">'uebb_Innov Europe'!$E$51</definedName>
    <definedName name="AT_ExSc_Datenstand" localSheetId="13">uebb_Widera!$E$48</definedName>
    <definedName name="AT_ExSc_Datenstand">uebb008_ExScience!$E$58</definedName>
    <definedName name="Bet_Anteile_EU_Datenstand" localSheetId="8">uebb24_Betanteile_EU27!$C$37</definedName>
    <definedName name="Bet_Anteile_EU_Datenstand">uebb24_Betanteile_EU27!$C$37</definedName>
    <definedName name="Bet_AT_Saeulen_Datenstand" localSheetId="6">'003_Bet_AT_Saeulen (2)'!$D$48</definedName>
    <definedName name="Bet_AT_Saeulen_Datenstand" localSheetId="8">'003_Bet_AT_Saeulen'!$D$48</definedName>
    <definedName name="Bet_AT_Saeulen_Datenstand">'003_Bet_AT_Saeulen'!$D$48</definedName>
    <definedName name="BL_FactSheet_Bundesland" localSheetId="8">uebbneu_Factsheet_AT!$D$62</definedName>
    <definedName name="BL_FactSheet_Bundesland" localSheetId="19">uebbneu_Factsheet_Bgl!$D$64</definedName>
    <definedName name="BL_FactSheet_Bundesland" localSheetId="20">uebbneu_Factsheet_Ktn!$D$65</definedName>
    <definedName name="BL_FactSheet_Bundesland" localSheetId="21">uebbneu_Factsheet_Noe!$D$65</definedName>
    <definedName name="BL_FactSheet_Bundesland" localSheetId="22">uebbneu_Factsheet_Ooe!$D$65</definedName>
    <definedName name="BL_FactSheet_Bundesland" localSheetId="23">uebbneu_Factsheet_Sbg!$D$65</definedName>
    <definedName name="BL_FactSheet_Bundesland" localSheetId="24">uebbneu_Factsheet_Stmk!$D$65</definedName>
    <definedName name="BL_FactSheet_Bundesland" localSheetId="25">uebbneu_Factsheet_T!$D$65</definedName>
    <definedName name="BL_FactSheet_Bundesland" localSheetId="26">uebbneu_Factsheet_V!$D$65</definedName>
    <definedName name="BL_FactSheet_Bundesland" localSheetId="27">uebbneu_Factsheet_W!$D$63</definedName>
    <definedName name="BL_FactSheet_Bundesland">uebbneu_Factsheet_AT!$D$62</definedName>
    <definedName name="Datenstand" localSheetId="31">uebb_AT_Orgtypen_KMU!$D$27</definedName>
    <definedName name="Datenstand" localSheetId="8">uebb_AT_Orgtypen_KMU!$D$27</definedName>
    <definedName name="Datenstand">uebb_AT_Orgtypen_KMU!$D$27</definedName>
    <definedName name="_xlnm.Print_Area" localSheetId="3">'001_Eckdaten_AT'!$C$3:$G$25</definedName>
    <definedName name="_xlnm.Print_Area" localSheetId="4">'002_Verteilung_Budget'!$B$2:$E$54</definedName>
    <definedName name="_xlnm.Print_Area" localSheetId="5">'003_Bet_AT_Saeulen'!$C$2:$H$42</definedName>
    <definedName name="_xlnm.Print_Area" localSheetId="6">'003_Bet_AT_Saeulen (2)'!$C$2:$H$42</definedName>
    <definedName name="_xlnm.Print_Area" localSheetId="30">Assoziierte_Bet_€!$F$2:$R$37</definedName>
    <definedName name="_xlnm.Print_Area" localSheetId="12">Calls_Saeule3!$D$2:$G$136</definedName>
    <definedName name="_xlnm.Print_Area" localSheetId="0">Deckblatt!$A$1:$B$59</definedName>
    <definedName name="_xlnm.Print_Area" localSheetId="31">Drittstaaten!$F$2:$Q$42</definedName>
    <definedName name="_xlnm.Print_Area" localSheetId="2">'Excec_Summary (2)'!$A$8:$E$35</definedName>
    <definedName name="_xlnm.Print_Area" localSheetId="8">'Instrumente ERC_MSCA'!$D$2:$G$182</definedName>
    <definedName name="_xlnm.Print_Area" localSheetId="15">uebb_AT_Orgtypen_KMU!$C$3:$G$21</definedName>
    <definedName name="_xlnm.Print_Area" localSheetId="9">uebb_Challenges!$D$2:$N$56</definedName>
    <definedName name="_xlnm.Print_Area" localSheetId="10">uebb_Challenges_schwerpkte!$D$2:$G$79</definedName>
    <definedName name="_xlnm.Print_Area" localSheetId="11">'uebb_Innov Europe'!$D$1:$N$46</definedName>
    <definedName name="_xlnm.Print_Area" localSheetId="13">uebb_Widera!$D$2:$N$43</definedName>
    <definedName name="_xlnm.Print_Area" localSheetId="7">uebb008_ExScience!$C$2:$N$52</definedName>
    <definedName name="_xlnm.Print_Area" localSheetId="14">uebb015_Bet_AT_Orgtypen!$B$3:$I$49</definedName>
    <definedName name="_xlnm.Print_Area" localSheetId="28">uebb022_Karte_EU27_Eckdaten_Sta!$C$2:$I$48</definedName>
    <definedName name="_xlnm.Print_Area" localSheetId="17">uebb038_Landkarte_Bundeslae!$C$2:$I$90</definedName>
    <definedName name="_xlnm.Print_Area" localSheetId="39">'uebb058_Eckdaten EU-Mitgliedsta'!$C$2:$L$37</definedName>
    <definedName name="_xlnm.Print_Area" localSheetId="16">uebb060_Erfquoten_Orgtypen!$C$2:$V$13</definedName>
    <definedName name="_xlnm.Print_Area" localSheetId="38">'uebb069_Bundesland_Program_ Koo'!$C$2:$M$28</definedName>
    <definedName name="_xlnm.Print_Area" localSheetId="37">uebb069_Bundesland_Program_€!$C$2:$M$28</definedName>
    <definedName name="_xlnm.Print_Area" localSheetId="36">uebb069_Bundesland_Program_Bet!$C$2:$M$28</definedName>
    <definedName name="_xlnm.Print_Area" localSheetId="29">uebb24_Betanteile_EU27!$C$2:$K$26</definedName>
    <definedName name="_xlnm.Print_Area" localSheetId="40">uebbneu_Erfolgsquoten_EU28!$C$2:$F$37</definedName>
    <definedName name="_xlnm.Print_Area" localSheetId="18">uebbneu_Factsheet_AT!$C$5:$K$54</definedName>
    <definedName name="_xlnm.Print_Area" localSheetId="19">uebbneu_Factsheet_Bgl!$C$5:$K$56</definedName>
    <definedName name="_xlnm.Print_Area" localSheetId="20">uebbneu_Factsheet_Ktn!$C$5:$K$57</definedName>
    <definedName name="_xlnm.Print_Area" localSheetId="21">uebbneu_Factsheet_Noe!$C$5:$K$57</definedName>
    <definedName name="_xlnm.Print_Area" localSheetId="22">uebbneu_Factsheet_Ooe!$C$5:$K$57</definedName>
    <definedName name="_xlnm.Print_Area" localSheetId="23">uebbneu_Factsheet_Sbg!$C$5:$K$57</definedName>
    <definedName name="_xlnm.Print_Area" localSheetId="24">uebbneu_Factsheet_Stmk!$C$5:$K$57</definedName>
    <definedName name="_xlnm.Print_Area" localSheetId="25">uebbneu_Factsheet_T!$C$5:$K$57</definedName>
    <definedName name="_xlnm.Print_Area" localSheetId="26">uebbneu_Factsheet_V!$C$5:$K$56</definedName>
    <definedName name="_xlnm.Print_Area" localSheetId="27">uebbneu_Factsheet_W!$C$5:$K$55</definedName>
    <definedName name="_xlnm.Print_Area" localSheetId="1">Zwischenblatt!$A$8:$C$38</definedName>
    <definedName name="_xlnm.Print_Area" localSheetId="41">zz_Gloss_Struktur!$B$2:$D$26</definedName>
    <definedName name="_xlnm.Print_Area" localSheetId="32">zz_Zwischenblatt_Anhang!$B$1:$H$36</definedName>
    <definedName name="Print_Area" localSheetId="4">'002_Verteilung_Budget'!$A$1:$F$56</definedName>
    <definedName name="Print_Area" localSheetId="5">'003_Bet_AT_Saeulen'!$A$1:$H$44</definedName>
    <definedName name="Print_Area" localSheetId="6">'003_Bet_AT_Saeulen (2)'!$A$1:$H$44</definedName>
    <definedName name="Print_Area" localSheetId="35">Alle_AT_Programme_Anteile!$A$1:$W$30</definedName>
    <definedName name="Print_Area" localSheetId="33">Alle_EU27_AT_Programme_Eckdaten!$A$1:$W$30</definedName>
    <definedName name="Print_Area" localSheetId="34">Alle_EU27_AT_Programme_Einreich!$A$1:$W$30</definedName>
    <definedName name="Print_Area" localSheetId="30">Assoziierte_Bet_€!$A$1:$K$38</definedName>
    <definedName name="Print_Area" localSheetId="0">Deckblatt!$A$1:$B$56</definedName>
    <definedName name="Print_Area" localSheetId="31">Drittstaaten!$A$1:$I$43</definedName>
    <definedName name="Print_Area" localSheetId="2">'Excec_Summary (2)'!$B$8:$C$46</definedName>
    <definedName name="Print_Area" localSheetId="15">uebb_AT_Orgtypen_KMU!$A$1:$I$23</definedName>
    <definedName name="Print_Area" localSheetId="9">uebb_Challenges!$C$1:$O$57</definedName>
    <definedName name="Print_Area" localSheetId="10">uebb_Challenges_schwerpkte!#REF!</definedName>
    <definedName name="Print_Area" localSheetId="11">'uebb_Innov Europe'!$C$1:$O$47</definedName>
    <definedName name="Print_Area" localSheetId="13">uebb_Widera!$C$1:$O$44</definedName>
    <definedName name="Print_Area" localSheetId="7">uebb008_ExScience!$C$1:$O$54</definedName>
    <definedName name="Print_Area" localSheetId="14">uebb015_Bet_AT_Orgtypen!$A$1:$I$50</definedName>
    <definedName name="Print_Area" localSheetId="28">uebb022_Karte_EU27_Eckdaten_Sta!$A$1:$J$47</definedName>
    <definedName name="Print_Area" localSheetId="17">uebb038_Landkarte_Bundeslae!$C$2:$L$92</definedName>
    <definedName name="Print_Area" localSheetId="39">'uebb058_Eckdaten EU-Mitgliedsta'!$A$1:$M$39</definedName>
    <definedName name="Print_Area" localSheetId="16">uebb060_Erfquoten_Orgtypen!$A$1:$W$15</definedName>
    <definedName name="Print_Area" localSheetId="38">'uebb069_Bundesland_Program_ Koo'!$A$1:$N$30</definedName>
    <definedName name="Print_Area" localSheetId="37">uebb069_Bundesland_Program_€!$A$1:$N$30</definedName>
    <definedName name="Print_Area" localSheetId="36">uebb069_Bundesland_Program_Bet!$A$1:$N$30</definedName>
    <definedName name="Print_Area" localSheetId="29">uebb24_Betanteile_EU27!$A$1:$L$28</definedName>
    <definedName name="Print_Area" localSheetId="40">uebbneu_Erfolgsquoten_EU28!$A$1:$F$39</definedName>
    <definedName name="Print_Area" localSheetId="18">uebbneu_Factsheet_AT!$A$1:$K$54</definedName>
    <definedName name="Print_Area" localSheetId="19">uebbneu_Factsheet_Bgl!$A$1:$K$56</definedName>
    <definedName name="Print_Area" localSheetId="20">uebbneu_Factsheet_Ktn!$A$1:$K$57</definedName>
    <definedName name="Print_Area" localSheetId="21">uebbneu_Factsheet_Noe!$A$1:$K$57</definedName>
    <definedName name="Print_Area" localSheetId="22">uebbneu_Factsheet_Ooe!$A$1:$K$57</definedName>
    <definedName name="Print_Area" localSheetId="23">uebbneu_Factsheet_Sbg!$A$1:$K$57</definedName>
    <definedName name="Print_Area" localSheetId="24">uebbneu_Factsheet_Stmk!$A$1:$K$57</definedName>
    <definedName name="Print_Area" localSheetId="25">uebbneu_Factsheet_T!$A$1:$K$57</definedName>
    <definedName name="Print_Area" localSheetId="26">uebbneu_Factsheet_V!$A$1:$K$56</definedName>
    <definedName name="Print_Area" localSheetId="27">uebbneu_Factsheet_W!$A$1:$K$55</definedName>
    <definedName name="Print_Area" localSheetId="1">Zwischenblatt!$B$8:$C$48</definedName>
    <definedName name="Print_Area" localSheetId="41">zz_Gloss_Struktur!$A$1:$E$26</definedName>
    <definedName name="Print_Area" localSheetId="32">zz_Zwischenblatt_Anhang!$A$1:$I$29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07" i="124" l="1"/>
  <c r="D74" i="124"/>
  <c r="D73" i="124"/>
  <c r="D72" i="124"/>
  <c r="D71" i="124"/>
  <c r="D70" i="124"/>
  <c r="D69" i="124"/>
  <c r="C11" i="122"/>
  <c r="F73" i="28"/>
  <c r="F74" i="28"/>
  <c r="F75" i="28"/>
  <c r="F76" i="28"/>
  <c r="F77" i="28"/>
  <c r="F78" i="28"/>
  <c r="F79" i="28"/>
  <c r="F80" i="28"/>
  <c r="F81" i="28"/>
  <c r="F72" i="28"/>
  <c r="E73" i="28"/>
  <c r="E74" i="28"/>
  <c r="G74" i="28" s="1"/>
  <c r="E75" i="28"/>
  <c r="E76" i="28"/>
  <c r="E77" i="28"/>
  <c r="G77" i="28" s="1"/>
  <c r="E78" i="28"/>
  <c r="G78" i="28" s="1"/>
  <c r="E79" i="28"/>
  <c r="E80" i="28"/>
  <c r="E81" i="28"/>
  <c r="E72" i="28"/>
  <c r="G72" i="28" s="1"/>
  <c r="G73" i="28"/>
  <c r="G75" i="28"/>
  <c r="G76" i="28"/>
  <c r="G79" i="28"/>
  <c r="G81" i="28"/>
  <c r="AA62" i="128"/>
  <c r="T84" i="128"/>
  <c r="T175" i="128"/>
  <c r="T172" i="128"/>
  <c r="A98" i="124"/>
  <c r="T61" i="124"/>
  <c r="AA118" i="128"/>
  <c r="A37" i="124"/>
  <c r="A37" i="128"/>
  <c r="A121" i="124"/>
  <c r="A134" i="128"/>
  <c r="A46" i="128"/>
  <c r="A57" i="124"/>
  <c r="Y30" i="124"/>
  <c r="T178" i="128"/>
  <c r="T21" i="124"/>
  <c r="A56" i="122"/>
  <c r="A108" i="128"/>
  <c r="Z16" i="128"/>
  <c r="T49" i="124"/>
  <c r="T122" i="124"/>
  <c r="Y103" i="124"/>
  <c r="T53" i="124"/>
  <c r="Y54" i="124"/>
  <c r="A56" i="124"/>
  <c r="T131" i="128"/>
  <c r="A31" i="128"/>
  <c r="T67" i="124"/>
  <c r="Y66" i="124"/>
  <c r="A58" i="122"/>
  <c r="AA59" i="128"/>
  <c r="A40" i="122"/>
  <c r="A52" i="122"/>
  <c r="A174" i="128"/>
  <c r="T122" i="128"/>
  <c r="T65" i="124"/>
  <c r="A40" i="124"/>
  <c r="A94" i="124"/>
  <c r="T132" i="124"/>
  <c r="T39" i="124"/>
  <c r="T18" i="128"/>
  <c r="T29" i="124"/>
  <c r="Y100" i="124"/>
  <c r="A133" i="128"/>
  <c r="Z15" i="128"/>
  <c r="T177" i="128"/>
  <c r="A41" i="122"/>
  <c r="T55" i="124"/>
  <c r="Y49" i="124"/>
  <c r="A175" i="128"/>
  <c r="Y23" i="124"/>
  <c r="T52" i="124"/>
  <c r="T69" i="128"/>
  <c r="A57" i="122"/>
  <c r="A172" i="128"/>
  <c r="T28" i="124"/>
  <c r="Y60" i="124"/>
  <c r="T104" i="128"/>
  <c r="Y98" i="124"/>
  <c r="AA65" i="128"/>
  <c r="T106" i="124"/>
  <c r="T132" i="128"/>
  <c r="Y12" i="124"/>
  <c r="A28" i="124"/>
  <c r="T48" i="124"/>
  <c r="Y19" i="124"/>
  <c r="Y32" i="124"/>
  <c r="T68" i="128"/>
  <c r="T47" i="128"/>
  <c r="AA126" i="128"/>
  <c r="T45" i="124"/>
  <c r="A92" i="124"/>
  <c r="Y46" i="124"/>
  <c r="Y61" i="124"/>
  <c r="T20" i="124"/>
  <c r="T51" i="124"/>
  <c r="T169" i="128"/>
  <c r="A46" i="122"/>
  <c r="A118" i="124"/>
  <c r="Y101" i="124"/>
  <c r="T61" i="128"/>
  <c r="A45" i="122"/>
  <c r="F30" i="122"/>
  <c r="A107" i="124"/>
  <c r="A48" i="122"/>
  <c r="T49" i="128"/>
  <c r="A116" i="124"/>
  <c r="T90" i="124"/>
  <c r="AA124" i="128"/>
  <c r="AA122" i="128"/>
  <c r="Y25" i="124"/>
  <c r="AA64" i="128"/>
  <c r="A124" i="124"/>
  <c r="A117" i="124"/>
  <c r="T171" i="128"/>
  <c r="T68" i="124"/>
  <c r="A103" i="124"/>
  <c r="T97" i="124"/>
  <c r="T108" i="124"/>
  <c r="Z14" i="128"/>
  <c r="T87" i="124"/>
  <c r="T64" i="124"/>
  <c r="Y18" i="124"/>
  <c r="A47" i="128"/>
  <c r="T113" i="124"/>
  <c r="T170" i="128"/>
  <c r="T17" i="128"/>
  <c r="T46" i="128"/>
  <c r="Y16" i="124"/>
  <c r="Y65" i="124"/>
  <c r="Y50" i="124"/>
  <c r="T56" i="124"/>
  <c r="A88" i="124"/>
  <c r="Y24" i="124"/>
  <c r="A48" i="128"/>
  <c r="T82" i="128"/>
  <c r="Y45" i="124"/>
  <c r="Y58" i="124"/>
  <c r="A101" i="124"/>
  <c r="T63" i="124"/>
  <c r="A113" i="124"/>
  <c r="A122" i="124"/>
  <c r="T24" i="128"/>
  <c r="A173" i="128"/>
  <c r="T103" i="124"/>
  <c r="Y53" i="124"/>
  <c r="T37" i="124"/>
  <c r="T86" i="124"/>
  <c r="A86" i="124"/>
  <c r="A95" i="124"/>
  <c r="A44" i="122"/>
  <c r="A50" i="122"/>
  <c r="A43" i="122"/>
  <c r="Y42" i="124"/>
  <c r="T133" i="124"/>
  <c r="A51" i="122"/>
  <c r="T44" i="124"/>
  <c r="A18" i="128"/>
  <c r="A39" i="122"/>
  <c r="Y14" i="124"/>
  <c r="Y59" i="124"/>
  <c r="T88" i="124"/>
  <c r="A49" i="128"/>
  <c r="T66" i="124"/>
  <c r="AA63" i="128"/>
  <c r="T48" i="128"/>
  <c r="T105" i="128"/>
  <c r="A36" i="124"/>
  <c r="T85" i="124"/>
  <c r="A97" i="124"/>
  <c r="Y33" i="124"/>
  <c r="Y48" i="124"/>
  <c r="Y44" i="124"/>
  <c r="A38" i="128"/>
  <c r="A177" i="128"/>
  <c r="T124" i="124"/>
  <c r="T84" i="124"/>
  <c r="Z17" i="128"/>
  <c r="T59" i="124"/>
  <c r="A179" i="128"/>
  <c r="F31" i="121"/>
  <c r="A53" i="122"/>
  <c r="A93" i="124"/>
  <c r="A90" i="124"/>
  <c r="Y64" i="124"/>
  <c r="A5" i="122"/>
  <c r="A49" i="122"/>
  <c r="T54" i="124"/>
  <c r="A42" i="122"/>
  <c r="T103" i="128"/>
  <c r="T89" i="124"/>
  <c r="T50" i="124"/>
  <c r="Y51" i="124"/>
  <c r="AA57" i="128"/>
  <c r="A87" i="124"/>
  <c r="Y34" i="124"/>
  <c r="A132" i="128"/>
  <c r="A105" i="124"/>
  <c r="T118" i="124"/>
  <c r="Y15" i="124"/>
  <c r="A102" i="124"/>
  <c r="T104" i="124"/>
  <c r="Y47" i="124"/>
  <c r="Y22" i="124"/>
  <c r="A25" i="128"/>
  <c r="T83" i="128"/>
  <c r="A47" i="122"/>
  <c r="T120" i="124"/>
  <c r="Y63" i="124"/>
  <c r="T40" i="124"/>
  <c r="A54" i="122"/>
  <c r="T18" i="124"/>
  <c r="T131" i="124"/>
  <c r="AA60" i="128"/>
  <c r="A105" i="128"/>
  <c r="T115" i="124"/>
  <c r="Y67" i="124"/>
  <c r="T119" i="124"/>
  <c r="T114" i="124"/>
  <c r="Y62" i="124"/>
  <c r="T123" i="124"/>
  <c r="AA121" i="128"/>
  <c r="Z19" i="128"/>
  <c r="Y27" i="124"/>
  <c r="T60" i="124"/>
  <c r="A55" i="122"/>
  <c r="T116" i="124"/>
  <c r="A50" i="128"/>
  <c r="T108" i="128"/>
  <c r="T50" i="128"/>
  <c r="Y13" i="124"/>
  <c r="A55" i="124"/>
  <c r="A115" i="124"/>
  <c r="A83" i="128"/>
  <c r="Y102" i="124"/>
  <c r="Y43" i="124"/>
  <c r="T37" i="128"/>
  <c r="A7" i="122"/>
  <c r="A106" i="124"/>
  <c r="A99" i="124"/>
  <c r="Y31" i="124"/>
  <c r="F33" i="121"/>
  <c r="A119" i="124"/>
  <c r="A96" i="124"/>
  <c r="A91" i="124"/>
  <c r="T41" i="128"/>
  <c r="A104" i="124"/>
  <c r="A114" i="124"/>
  <c r="A6" i="122"/>
  <c r="AA120" i="128"/>
  <c r="T106" i="128"/>
  <c r="A39" i="124"/>
  <c r="T25" i="128"/>
  <c r="T168" i="128"/>
  <c r="A41" i="128"/>
  <c r="T57" i="124"/>
  <c r="T102" i="124"/>
  <c r="A176" i="128"/>
  <c r="T107" i="128"/>
  <c r="T179" i="128"/>
  <c r="Y26" i="124"/>
  <c r="A38" i="124"/>
  <c r="Y52" i="124"/>
  <c r="T47" i="124"/>
  <c r="A100" i="124"/>
  <c r="T117" i="124"/>
  <c r="T174" i="128"/>
  <c r="T31" i="128"/>
  <c r="T125" i="124"/>
  <c r="A89" i="124"/>
  <c r="A84" i="128"/>
  <c r="A123" i="124"/>
  <c r="Y99" i="124"/>
  <c r="A125" i="124"/>
  <c r="T38" i="128"/>
  <c r="A178" i="128"/>
  <c r="Y35" i="124"/>
  <c r="T19" i="124"/>
  <c r="T173" i="128"/>
  <c r="T41" i="124"/>
  <c r="F20" i="122"/>
  <c r="F21" i="122"/>
  <c r="A107" i="128"/>
  <c r="T96" i="124"/>
  <c r="A41" i="124"/>
  <c r="Y17" i="124"/>
  <c r="A106" i="128"/>
  <c r="T36" i="124"/>
  <c r="T46" i="124"/>
  <c r="A120" i="124"/>
  <c r="A84" i="124"/>
  <c r="F34" i="121"/>
  <c r="T105" i="124"/>
  <c r="T121" i="124"/>
  <c r="A85" i="124"/>
  <c r="AA123" i="128"/>
  <c r="T58" i="124"/>
  <c r="A29" i="124"/>
  <c r="T176" i="128"/>
  <c r="T95" i="124"/>
  <c r="A4" i="122"/>
  <c r="T38" i="124"/>
  <c r="T62" i="124"/>
  <c r="AA125" i="128"/>
  <c r="AA61" i="128"/>
  <c r="AA119" i="128"/>
  <c r="AA58" i="128"/>
  <c r="U69" i="128" l="1"/>
  <c r="U84" i="128"/>
  <c r="D84" i="128" s="1"/>
  <c r="U105" i="124"/>
  <c r="D105" i="124" s="1"/>
  <c r="U104" i="124"/>
  <c r="D104" i="124" s="1"/>
  <c r="U106" i="124"/>
  <c r="D106" i="124" s="1"/>
  <c r="U108" i="124"/>
  <c r="U103" i="124"/>
  <c r="D103" i="124" s="1"/>
  <c r="U29" i="124"/>
  <c r="D29" i="124" s="1"/>
  <c r="U97" i="124"/>
  <c r="D97" i="124" s="1"/>
  <c r="U123" i="124"/>
  <c r="D123" i="124" s="1"/>
  <c r="U96" i="124"/>
  <c r="D96" i="124" s="1"/>
  <c r="U122" i="124"/>
  <c r="D122" i="124" s="1"/>
  <c r="U90" i="124"/>
  <c r="D90" i="124" s="1"/>
  <c r="U120" i="124"/>
  <c r="D120" i="124" s="1"/>
  <c r="U89" i="124"/>
  <c r="D89" i="124" s="1"/>
  <c r="U119" i="124"/>
  <c r="D119" i="124" s="1"/>
  <c r="U95" i="124"/>
  <c r="D95" i="124" s="1"/>
  <c r="U121" i="124"/>
  <c r="D121" i="124" s="1"/>
  <c r="U88" i="124"/>
  <c r="D88" i="124" s="1"/>
  <c r="U118" i="124"/>
  <c r="D118" i="124" s="1"/>
  <c r="U117" i="124"/>
  <c r="D117" i="124" s="1"/>
  <c r="U125" i="124"/>
  <c r="D125" i="124" s="1"/>
  <c r="U116" i="124"/>
  <c r="D116" i="124" s="1"/>
  <c r="U124" i="124"/>
  <c r="D124" i="124" s="1"/>
  <c r="U41" i="124"/>
  <c r="D41" i="124" s="1"/>
  <c r="U40" i="124"/>
  <c r="D40" i="124" s="1"/>
  <c r="U19" i="124"/>
  <c r="D19" i="124" s="1"/>
  <c r="U21" i="124"/>
  <c r="U39" i="124"/>
  <c r="D39" i="124" s="1"/>
  <c r="U38" i="124"/>
  <c r="D38" i="124" s="1"/>
  <c r="U20" i="124"/>
  <c r="D20" i="124" s="1"/>
  <c r="U37" i="124"/>
  <c r="D37" i="124" s="1"/>
  <c r="U176" i="128"/>
  <c r="D176" i="128" s="1"/>
  <c r="U177" i="128"/>
  <c r="D177" i="128" s="1"/>
  <c r="U173" i="128"/>
  <c r="D173" i="128" s="1"/>
  <c r="U174" i="128"/>
  <c r="D174" i="128" s="1"/>
  <c r="U178" i="128"/>
  <c r="D178" i="128" s="1"/>
  <c r="U175" i="128"/>
  <c r="D175" i="128" s="1"/>
  <c r="U179" i="128"/>
  <c r="D179" i="128" s="1"/>
  <c r="U172" i="128"/>
  <c r="D172" i="128" s="1"/>
  <c r="D47" i="128"/>
  <c r="U47" i="128"/>
  <c r="U49" i="128"/>
  <c r="D49" i="128"/>
  <c r="D48" i="128"/>
  <c r="U48" i="128"/>
  <c r="D46" i="128"/>
  <c r="U25" i="128"/>
  <c r="D25" i="128"/>
  <c r="U38" i="128"/>
  <c r="D38" i="128"/>
  <c r="U46" i="128"/>
  <c r="D18" i="128"/>
  <c r="U18" i="128"/>
  <c r="D31" i="128"/>
  <c r="U31" i="128"/>
  <c r="G80" i="28"/>
  <c r="U113" i="124"/>
  <c r="D113" i="124" s="1"/>
  <c r="U115" i="124"/>
  <c r="D115" i="124" s="1"/>
  <c r="U114" i="124"/>
  <c r="D114" i="124" s="1"/>
  <c r="U87" i="124"/>
  <c r="D87" i="124" s="1"/>
  <c r="U102" i="124"/>
  <c r="D102" i="124" s="1"/>
  <c r="U84" i="124"/>
  <c r="D84" i="124" s="1"/>
  <c r="U85" i="124"/>
  <c r="D85" i="124" s="1"/>
  <c r="U86" i="124"/>
  <c r="D86" i="124" s="1"/>
  <c r="U67" i="124"/>
  <c r="D67" i="124" s="1"/>
  <c r="U68" i="124"/>
  <c r="D68" i="124" s="1"/>
  <c r="U66" i="124"/>
  <c r="D66" i="124" s="1"/>
  <c r="U64" i="124"/>
  <c r="D64" i="124" s="1"/>
  <c r="U65" i="124"/>
  <c r="D65" i="124" s="1"/>
  <c r="U132" i="128"/>
  <c r="D132" i="128" s="1"/>
  <c r="U171" i="128"/>
  <c r="D171" i="128" s="1"/>
  <c r="U105" i="128"/>
  <c r="D105" i="128" s="1"/>
  <c r="U61" i="128"/>
  <c r="U106" i="128"/>
  <c r="D106" i="128" s="1"/>
  <c r="U108" i="128"/>
  <c r="D108" i="128" s="1"/>
  <c r="U107" i="128"/>
  <c r="D107" i="128" s="1"/>
  <c r="U46" i="124"/>
  <c r="U50" i="124"/>
  <c r="U54" i="124"/>
  <c r="U57" i="124"/>
  <c r="D57" i="124" s="1"/>
  <c r="U61" i="124"/>
  <c r="U47" i="124"/>
  <c r="U51" i="124"/>
  <c r="U58" i="124"/>
  <c r="U62" i="124"/>
  <c r="U44" i="124"/>
  <c r="U48" i="124"/>
  <c r="U52" i="124"/>
  <c r="U55" i="124"/>
  <c r="D55" i="124" s="1"/>
  <c r="U59" i="124"/>
  <c r="U45" i="124"/>
  <c r="U49" i="124"/>
  <c r="U53" i="124"/>
  <c r="U56" i="124"/>
  <c r="D56" i="124" s="1"/>
  <c r="U60" i="124"/>
  <c r="U63" i="124"/>
  <c r="D63" i="124" s="1"/>
  <c r="U168" i="128"/>
  <c r="U169" i="128"/>
  <c r="U170" i="128"/>
  <c r="D170" i="128" s="1"/>
  <c r="U83" i="128"/>
  <c r="D83" i="128" s="1"/>
  <c r="U28" i="124"/>
  <c r="D28" i="124" s="1"/>
  <c r="U36" i="124"/>
  <c r="D36" i="124" s="1"/>
  <c r="U18" i="124"/>
  <c r="D18" i="124" s="1"/>
  <c r="D41" i="128"/>
  <c r="D37" i="128"/>
  <c r="D50" i="128"/>
  <c r="U24" i="128"/>
  <c r="U41" i="128"/>
  <c r="U37" i="128"/>
  <c r="U50" i="128"/>
  <c r="U17" i="128"/>
  <c r="A168" i="128"/>
  <c r="T67" i="128"/>
  <c r="T102" i="128"/>
  <c r="A67" i="124"/>
  <c r="A20" i="124"/>
  <c r="A19" i="124"/>
  <c r="A170" i="128"/>
  <c r="A65" i="124"/>
  <c r="T45" i="128"/>
  <c r="A71" i="124"/>
  <c r="A69" i="124"/>
  <c r="A70" i="124"/>
  <c r="F38" i="121"/>
  <c r="F17" i="122"/>
  <c r="A169" i="128"/>
  <c r="T17" i="124"/>
  <c r="T30" i="128"/>
  <c r="A68" i="124"/>
  <c r="T74" i="128"/>
  <c r="A66" i="124"/>
  <c r="A171" i="128"/>
  <c r="A60" i="124"/>
  <c r="A21" i="124"/>
  <c r="A17" i="124"/>
  <c r="T60" i="128"/>
  <c r="A4" i="124"/>
  <c r="F36" i="121"/>
  <c r="F12" i="122"/>
  <c r="A61" i="124"/>
  <c r="A63" i="124"/>
  <c r="A62" i="124"/>
  <c r="A18" i="124"/>
  <c r="A64" i="124"/>
  <c r="U17" i="124" l="1"/>
  <c r="D17" i="124" s="1"/>
  <c r="D62" i="124"/>
  <c r="D61" i="124"/>
  <c r="D60" i="124"/>
  <c r="D168" i="128"/>
  <c r="D169" i="128"/>
  <c r="E57" i="122"/>
  <c r="F3" i="122" s="1"/>
  <c r="E50" i="117" l="1"/>
  <c r="D50" i="117"/>
  <c r="C50" i="117"/>
  <c r="E51" i="116"/>
  <c r="D51" i="116"/>
  <c r="C51" i="116"/>
  <c r="E52" i="115"/>
  <c r="D52" i="115"/>
  <c r="C52" i="115"/>
  <c r="E52" i="114"/>
  <c r="D52" i="114"/>
  <c r="C52" i="114"/>
  <c r="E52" i="113"/>
  <c r="D52" i="113"/>
  <c r="C52" i="113"/>
  <c r="E52" i="112"/>
  <c r="D52" i="112"/>
  <c r="C52" i="112"/>
  <c r="E52" i="111"/>
  <c r="D52" i="111"/>
  <c r="C52" i="111"/>
  <c r="E52" i="110"/>
  <c r="D52" i="110"/>
  <c r="C52" i="110"/>
  <c r="E52" i="109"/>
  <c r="D52" i="109"/>
  <c r="C52" i="109"/>
  <c r="A146" i="128"/>
  <c r="A160" i="128"/>
  <c r="A82" i="124"/>
  <c r="A161" i="128"/>
  <c r="A151" i="128"/>
  <c r="A75" i="124"/>
  <c r="A60" i="128"/>
  <c r="A16" i="128"/>
  <c r="A158" i="128"/>
  <c r="A53" i="124"/>
  <c r="A112" i="124"/>
  <c r="A128" i="128"/>
  <c r="A117" i="128"/>
  <c r="A109" i="124"/>
  <c r="A32" i="128"/>
  <c r="A74" i="128"/>
  <c r="A24" i="124"/>
  <c r="A88" i="128"/>
  <c r="A166" i="128"/>
  <c r="A73" i="124"/>
  <c r="A96" i="128"/>
  <c r="A6" i="128"/>
  <c r="A111" i="128"/>
  <c r="T88" i="128"/>
  <c r="A63" i="128"/>
  <c r="A148" i="128"/>
  <c r="L24" i="96"/>
  <c r="A40" i="128"/>
  <c r="A115" i="128"/>
  <c r="A16" i="124"/>
  <c r="A138" i="128"/>
  <c r="A149" i="128"/>
  <c r="A74" i="124"/>
  <c r="A124" i="128"/>
  <c r="A150" i="128"/>
  <c r="A14" i="128"/>
  <c r="A47" i="124"/>
  <c r="A123" i="128"/>
  <c r="A80" i="128"/>
  <c r="A114" i="128"/>
  <c r="A130" i="124"/>
  <c r="A36" i="128"/>
  <c r="A102" i="128"/>
  <c r="A52" i="124"/>
  <c r="A89" i="128"/>
  <c r="A156" i="128"/>
  <c r="A83" i="124"/>
  <c r="A94" i="128"/>
  <c r="A29" i="128"/>
  <c r="A112" i="128"/>
  <c r="A35" i="128"/>
  <c r="A30" i="124"/>
  <c r="A153" i="128"/>
  <c r="A5" i="124"/>
  <c r="A154" i="128"/>
  <c r="A165" i="128"/>
  <c r="A131" i="128"/>
  <c r="A95" i="128"/>
  <c r="T40" i="128"/>
  <c r="A5" i="128"/>
  <c r="A87" i="128"/>
  <c r="A43" i="128"/>
  <c r="A104" i="128"/>
  <c r="A15" i="128"/>
  <c r="A19" i="128"/>
  <c r="A58" i="124"/>
  <c r="A22" i="124"/>
  <c r="A120" i="128"/>
  <c r="A113" i="128"/>
  <c r="A7" i="124"/>
  <c r="A82" i="128"/>
  <c r="A155" i="128"/>
  <c r="A15" i="124"/>
  <c r="A54" i="124"/>
  <c r="L23" i="96"/>
  <c r="A58" i="128"/>
  <c r="A28" i="128"/>
  <c r="A139" i="128"/>
  <c r="A73" i="128"/>
  <c r="A164" i="128"/>
  <c r="A111" i="124"/>
  <c r="A49" i="124"/>
  <c r="A125" i="128"/>
  <c r="A121" i="128"/>
  <c r="A26" i="124"/>
  <c r="A30" i="128"/>
  <c r="A70" i="128"/>
  <c r="A34" i="124"/>
  <c r="A12" i="128"/>
  <c r="A157" i="128"/>
  <c r="A76" i="128"/>
  <c r="A14" i="124"/>
  <c r="A116" i="128"/>
  <c r="A85" i="128"/>
  <c r="A78" i="128"/>
  <c r="A51" i="124"/>
  <c r="A42" i="128"/>
  <c r="A143" i="128"/>
  <c r="A66" i="128"/>
  <c r="D6" i="128"/>
  <c r="A92" i="128"/>
  <c r="A25" i="124"/>
  <c r="A72" i="128"/>
  <c r="A159" i="128"/>
  <c r="A137" i="128"/>
  <c r="A80" i="124"/>
  <c r="T101" i="128"/>
  <c r="A135" i="128"/>
  <c r="A77" i="124"/>
  <c r="A130" i="128"/>
  <c r="A119" i="128"/>
  <c r="A118" i="128"/>
  <c r="A44" i="124"/>
  <c r="A42" i="124"/>
  <c r="A99" i="128"/>
  <c r="A22" i="128"/>
  <c r="A6" i="124"/>
  <c r="A145" i="128"/>
  <c r="A127" i="128"/>
  <c r="A110" i="124"/>
  <c r="A77" i="128"/>
  <c r="A152" i="128"/>
  <c r="A8" i="128"/>
  <c r="A48" i="124"/>
  <c r="A45" i="128"/>
  <c r="A62" i="128"/>
  <c r="A59" i="128"/>
  <c r="A27" i="124"/>
  <c r="D11" i="128"/>
  <c r="A21" i="128"/>
  <c r="A32" i="124"/>
  <c r="A97" i="128"/>
  <c r="A26" i="128"/>
  <c r="A103" i="128"/>
  <c r="A59" i="124"/>
  <c r="A98" i="128"/>
  <c r="A141" i="128"/>
  <c r="A144" i="128"/>
  <c r="A167" i="128"/>
  <c r="A163" i="128"/>
  <c r="A100" i="128"/>
  <c r="A79" i="124"/>
  <c r="A131" i="124"/>
  <c r="A35" i="124"/>
  <c r="A17" i="128"/>
  <c r="A34" i="128"/>
  <c r="A50" i="124"/>
  <c r="C1" i="128"/>
  <c r="A140" i="128"/>
  <c r="A7" i="128"/>
  <c r="A72" i="124"/>
  <c r="A129" i="128"/>
  <c r="A44" i="128"/>
  <c r="A108" i="124"/>
  <c r="A122" i="128"/>
  <c r="A39" i="128"/>
  <c r="A67" i="128"/>
  <c r="A46" i="124"/>
  <c r="A23" i="128"/>
  <c r="A69" i="128"/>
  <c r="A33" i="124"/>
  <c r="A65" i="128"/>
  <c r="A56" i="128"/>
  <c r="A81" i="124"/>
  <c r="A142" i="128"/>
  <c r="A101" i="128"/>
  <c r="A132" i="124"/>
  <c r="A162" i="128"/>
  <c r="A68" i="128"/>
  <c r="A78" i="124"/>
  <c r="A12" i="124"/>
  <c r="A61" i="128"/>
  <c r="A81" i="128"/>
  <c r="A90" i="128"/>
  <c r="A126" i="128"/>
  <c r="A136" i="128"/>
  <c r="A45" i="124"/>
  <c r="A76" i="124"/>
  <c r="A75" i="128"/>
  <c r="A147" i="128"/>
  <c r="A13" i="124"/>
  <c r="A24" i="128"/>
  <c r="A93" i="128"/>
  <c r="U40" i="128" l="1"/>
  <c r="D40" i="128"/>
  <c r="D13" i="128"/>
  <c r="T14" i="128"/>
  <c r="D14" i="128" l="1"/>
  <c r="U14" i="128"/>
  <c r="T15" i="128"/>
  <c r="D15" i="128" l="1"/>
  <c r="U15" i="128"/>
  <c r="T16" i="128"/>
  <c r="D16" i="128" l="1"/>
  <c r="U16" i="128"/>
  <c r="D17" i="128" l="1"/>
  <c r="D20" i="128"/>
  <c r="T21" i="128"/>
  <c r="D21" i="128" l="1"/>
  <c r="U21" i="128"/>
  <c r="T22" i="128"/>
  <c r="D22" i="128" l="1"/>
  <c r="U22" i="128"/>
  <c r="T23" i="128"/>
  <c r="D23" i="128" l="1"/>
  <c r="U23" i="128"/>
  <c r="D24" i="128" l="1"/>
  <c r="D27" i="128"/>
  <c r="T28" i="128"/>
  <c r="D28" i="128" l="1"/>
  <c r="U28" i="128"/>
  <c r="T29" i="128"/>
  <c r="D29" i="128" l="1"/>
  <c r="U29" i="128"/>
  <c r="D30" i="128" l="1"/>
  <c r="U30" i="128"/>
  <c r="D33" i="128"/>
  <c r="T34" i="128"/>
  <c r="D34" i="128" l="1"/>
  <c r="U34" i="128"/>
  <c r="T35" i="128"/>
  <c r="D35" i="128" l="1"/>
  <c r="U35" i="128"/>
  <c r="T36" i="128"/>
  <c r="D36" i="128" l="1"/>
  <c r="U36" i="128"/>
  <c r="T39" i="128"/>
  <c r="D39" i="128" l="1"/>
  <c r="U39" i="128"/>
  <c r="T42" i="128"/>
  <c r="D42" i="128" l="1"/>
  <c r="U42" i="128"/>
  <c r="T43" i="128"/>
  <c r="D43" i="128" l="1"/>
  <c r="U43" i="128"/>
  <c r="T44" i="128"/>
  <c r="D44" i="128" l="1"/>
  <c r="U44" i="128"/>
  <c r="D45" i="128" l="1"/>
  <c r="U45" i="128"/>
  <c r="Q55" i="128"/>
  <c r="D57" i="128"/>
  <c r="T58" i="128"/>
  <c r="D55" i="128"/>
  <c r="U58" i="128" l="1"/>
  <c r="D58" i="128" s="1"/>
  <c r="T59" i="128"/>
  <c r="U59" i="128" l="1"/>
  <c r="D59" i="128" s="1"/>
  <c r="U60" i="128" l="1"/>
  <c r="D60" i="128" s="1"/>
  <c r="D61" i="128" l="1"/>
  <c r="U62" i="128" l="1"/>
  <c r="D62" i="128" s="1"/>
  <c r="U63" i="128"/>
  <c r="D64" i="128"/>
  <c r="U64" i="128"/>
  <c r="T65" i="128"/>
  <c r="U65" i="128" l="1"/>
  <c r="D65" i="128" s="1"/>
  <c r="T66" i="128"/>
  <c r="U66" i="128" l="1"/>
  <c r="D66" i="128" s="1"/>
  <c r="U67" i="128" l="1"/>
  <c r="D67" i="128" s="1"/>
  <c r="U68" i="128" l="1"/>
  <c r="D68" i="128" s="1"/>
  <c r="D69" i="128" l="1"/>
  <c r="U70" i="128"/>
  <c r="D71" i="128"/>
  <c r="U71" i="128"/>
  <c r="T72" i="128"/>
  <c r="U72" i="128" l="1"/>
  <c r="D72" i="128" s="1"/>
  <c r="T73" i="128"/>
  <c r="U73" i="128" l="1"/>
  <c r="D73" i="128" s="1"/>
  <c r="U74" i="128" l="1"/>
  <c r="D74" i="128" s="1"/>
  <c r="T75" i="128"/>
  <c r="U75" i="128" l="1"/>
  <c r="D75" i="128" s="1"/>
  <c r="U76" i="128"/>
  <c r="U77" i="128"/>
  <c r="U78" i="128"/>
  <c r="D79" i="128"/>
  <c r="U79" i="128"/>
  <c r="T80" i="128"/>
  <c r="U80" i="128" l="1"/>
  <c r="D80" i="128" s="1"/>
  <c r="T81" i="128"/>
  <c r="U81" i="128" l="1"/>
  <c r="D81" i="128" s="1"/>
  <c r="U82" i="128" l="1"/>
  <c r="D82" i="128" s="1"/>
  <c r="U85" i="128"/>
  <c r="D86" i="128"/>
  <c r="U86" i="128"/>
  <c r="T87" i="128"/>
  <c r="U87" i="128" l="1"/>
  <c r="D87" i="128" s="1"/>
  <c r="U88" i="128" l="1"/>
  <c r="D88" i="128" s="1"/>
  <c r="T89" i="128"/>
  <c r="D89" i="128" l="1"/>
  <c r="U89" i="128"/>
  <c r="U90" i="128"/>
  <c r="D91" i="128"/>
  <c r="U91" i="128"/>
  <c r="T92" i="128"/>
  <c r="U92" i="128" l="1"/>
  <c r="D92" i="128" s="1"/>
  <c r="T93" i="128"/>
  <c r="U93" i="128" l="1"/>
  <c r="D93" i="128" s="1"/>
  <c r="T94" i="128"/>
  <c r="U94" i="128" l="1"/>
  <c r="D94" i="128" s="1"/>
  <c r="T95" i="128"/>
  <c r="U95" i="128" l="1"/>
  <c r="D95" i="128" s="1"/>
  <c r="T96" i="128"/>
  <c r="U96" i="128" l="1"/>
  <c r="D96" i="128" s="1"/>
  <c r="T97" i="128"/>
  <c r="U97" i="128" l="1"/>
  <c r="D97" i="128" s="1"/>
  <c r="T98" i="128"/>
  <c r="U98" i="128" l="1"/>
  <c r="D98" i="128" s="1"/>
  <c r="T99" i="128"/>
  <c r="U99" i="128" l="1"/>
  <c r="D99" i="128" s="1"/>
  <c r="T100" i="128"/>
  <c r="U100" i="128" l="1"/>
  <c r="D100" i="128" s="1"/>
  <c r="U101" i="128" l="1"/>
  <c r="D101" i="128" s="1"/>
  <c r="U104" i="128"/>
  <c r="D104" i="128" s="1"/>
  <c r="U111" i="128"/>
  <c r="U112" i="128"/>
  <c r="U113" i="128"/>
  <c r="U114" i="128"/>
  <c r="Q115" i="128"/>
  <c r="U115" i="128"/>
  <c r="U116" i="128"/>
  <c r="D117" i="128"/>
  <c r="U117" i="128"/>
  <c r="D115" i="128"/>
  <c r="T118" i="128"/>
  <c r="U103" i="128" l="1"/>
  <c r="D103" i="128" s="1"/>
  <c r="U102" i="128"/>
  <c r="D102" i="128" s="1"/>
  <c r="U118" i="128"/>
  <c r="D118" i="128" s="1"/>
  <c r="T119" i="128"/>
  <c r="U119" i="128" l="1"/>
  <c r="D119" i="128" s="1"/>
  <c r="T120" i="128"/>
  <c r="U120" i="128" l="1"/>
  <c r="D120" i="128" s="1"/>
  <c r="T121" i="128"/>
  <c r="U121" i="128" l="1"/>
  <c r="D121" i="128" s="1"/>
  <c r="U122" i="128" l="1"/>
  <c r="D122" i="128" s="1"/>
  <c r="U123" i="128" l="1"/>
  <c r="D123" i="128" s="1"/>
  <c r="D125" i="128"/>
  <c r="U125" i="128"/>
  <c r="T126" i="128"/>
  <c r="U126" i="128" l="1"/>
  <c r="D126" i="128" s="1"/>
  <c r="T127" i="128"/>
  <c r="U127" i="128" l="1"/>
  <c r="D127" i="128" s="1"/>
  <c r="T128" i="128"/>
  <c r="U128" i="128" l="1"/>
  <c r="D128" i="128" s="1"/>
  <c r="T129" i="128"/>
  <c r="U129" i="128" l="1"/>
  <c r="D129" i="128" s="1"/>
  <c r="T130" i="128"/>
  <c r="U130" i="128" l="1"/>
  <c r="D130" i="128" s="1"/>
  <c r="U131" i="128" l="1"/>
  <c r="D131" i="128" s="1"/>
  <c r="D136" i="128"/>
  <c r="U136" i="128"/>
  <c r="T137" i="128"/>
  <c r="U137" i="128" l="1"/>
  <c r="D137" i="128" s="1"/>
  <c r="T138" i="128"/>
  <c r="U138" i="128" l="1"/>
  <c r="D138" i="128" s="1"/>
  <c r="T139" i="128"/>
  <c r="U139" i="128" l="1"/>
  <c r="D139" i="128" s="1"/>
  <c r="T140" i="128"/>
  <c r="U140" i="128" l="1"/>
  <c r="D140" i="128" s="1"/>
  <c r="T141" i="128"/>
  <c r="U141" i="128" l="1"/>
  <c r="D141" i="128" s="1"/>
  <c r="T142" i="128"/>
  <c r="U142" i="128" l="1"/>
  <c r="D142" i="128" s="1"/>
  <c r="D144" i="128"/>
  <c r="U144" i="128"/>
  <c r="T145" i="128"/>
  <c r="U145" i="128" l="1"/>
  <c r="D145" i="128" s="1"/>
  <c r="T146" i="128"/>
  <c r="U146" i="128" l="1"/>
  <c r="D146" i="128" s="1"/>
  <c r="T147" i="128"/>
  <c r="U147" i="128" l="1"/>
  <c r="D147" i="128" s="1"/>
  <c r="T148" i="128"/>
  <c r="U148" i="128" l="1"/>
  <c r="D148" i="128" s="1"/>
  <c r="T149" i="128"/>
  <c r="U149" i="128" l="1"/>
  <c r="D149" i="128" s="1"/>
  <c r="T150" i="128"/>
  <c r="U150" i="128" l="1"/>
  <c r="D150" i="128" s="1"/>
  <c r="U151" i="128"/>
  <c r="D152" i="128"/>
  <c r="U152" i="128"/>
  <c r="T153" i="128"/>
  <c r="U153" i="128" l="1"/>
  <c r="D153" i="128" s="1"/>
  <c r="T154" i="128"/>
  <c r="U154" i="128" l="1"/>
  <c r="D154" i="128" s="1"/>
  <c r="T155" i="128"/>
  <c r="U155" i="128" l="1"/>
  <c r="D155" i="128" s="1"/>
  <c r="T156" i="128"/>
  <c r="U156" i="128" l="1"/>
  <c r="D156" i="128" s="1"/>
  <c r="T157" i="128"/>
  <c r="U157" i="128" l="1"/>
  <c r="D157" i="128" s="1"/>
  <c r="T158" i="128"/>
  <c r="U158" i="128" l="1"/>
  <c r="D158" i="128" s="1"/>
  <c r="D160" i="128"/>
  <c r="T161" i="128"/>
  <c r="U161" i="128" l="1"/>
  <c r="D161" i="128" s="1"/>
  <c r="T162" i="128"/>
  <c r="U162" i="128" l="1"/>
  <c r="D162" i="128" s="1"/>
  <c r="T163" i="128"/>
  <c r="U163" i="128" l="1"/>
  <c r="D163" i="128" s="1"/>
  <c r="T164" i="128"/>
  <c r="U164" i="128" l="1"/>
  <c r="D164" i="128" s="1"/>
  <c r="T165" i="128"/>
  <c r="U165" i="128" l="1"/>
  <c r="D165" i="128" s="1"/>
  <c r="T166" i="128"/>
  <c r="U166" i="128" l="1"/>
  <c r="D166" i="128" s="1"/>
  <c r="T167" i="128"/>
  <c r="U167" i="128" l="1"/>
  <c r="D167" i="128" s="1"/>
  <c r="T94" i="124"/>
  <c r="T83" i="124"/>
  <c r="D53" i="124" l="1"/>
  <c r="D54" i="124"/>
  <c r="D59" i="124"/>
  <c r="U83" i="124"/>
  <c r="D83" i="124" s="1"/>
  <c r="U94" i="124"/>
  <c r="D94" i="124" s="1"/>
  <c r="D31" i="124" l="1"/>
  <c r="D23" i="124"/>
  <c r="D11" i="124"/>
  <c r="A48" i="127"/>
  <c r="T27" i="124"/>
  <c r="C29" i="127"/>
  <c r="B1" i="127"/>
  <c r="C13" i="127"/>
  <c r="D48" i="127"/>
  <c r="C8" i="127"/>
  <c r="G12" i="127"/>
  <c r="F29" i="127"/>
  <c r="E9" i="127"/>
  <c r="D29" i="127"/>
  <c r="C11" i="127"/>
  <c r="D28" i="127"/>
  <c r="D42" i="127"/>
  <c r="G9" i="127"/>
  <c r="G10" i="127"/>
  <c r="E12" i="127"/>
  <c r="D27" i="127"/>
  <c r="C27" i="127"/>
  <c r="F26" i="127"/>
  <c r="T16" i="124"/>
  <c r="E11" i="127"/>
  <c r="F31" i="127"/>
  <c r="G13" i="127"/>
  <c r="F30" i="127"/>
  <c r="E8" i="127"/>
  <c r="C9" i="127"/>
  <c r="G11" i="127"/>
  <c r="C31" i="127"/>
  <c r="E10" i="127"/>
  <c r="F28" i="127"/>
  <c r="C2" i="127"/>
  <c r="G8" i="127"/>
  <c r="F27" i="127"/>
  <c r="D30" i="127"/>
  <c r="D31" i="127"/>
  <c r="E13" i="127"/>
  <c r="U16" i="124" l="1"/>
  <c r="D16" i="124" s="1"/>
  <c r="D58" i="124"/>
  <c r="U27" i="124"/>
  <c r="D27" i="124" s="1"/>
  <c r="D52" i="124"/>
  <c r="E29" i="127"/>
  <c r="D13" i="127"/>
  <c r="E27" i="127"/>
  <c r="E30" i="127"/>
  <c r="F9" i="127"/>
  <c r="D11" i="127"/>
  <c r="F12" i="127"/>
  <c r="F8" i="127"/>
  <c r="F10" i="127"/>
  <c r="D9" i="127"/>
  <c r="F13" i="127"/>
  <c r="E31" i="127"/>
  <c r="F11" i="127"/>
  <c r="D8" i="127"/>
  <c r="D10" i="127"/>
  <c r="D12" i="127"/>
  <c r="E28" i="127"/>
  <c r="T34" i="124"/>
  <c r="U34" i="124" l="1"/>
  <c r="D34" i="124" s="1"/>
  <c r="U99" i="124" l="1"/>
  <c r="U98" i="124"/>
  <c r="U92" i="124"/>
  <c r="U91" i="124"/>
  <c r="T100" i="124"/>
  <c r="T112" i="124"/>
  <c r="T93" i="124"/>
  <c r="D77" i="124"/>
  <c r="T111" i="124"/>
  <c r="D110" i="124"/>
  <c r="D5" i="124"/>
  <c r="T101" i="124"/>
  <c r="U111" i="124" l="1"/>
  <c r="D111" i="124" s="1"/>
  <c r="U112" i="124"/>
  <c r="D112" i="124" s="1"/>
  <c r="U100" i="124"/>
  <c r="D100" i="124" s="1"/>
  <c r="U101" i="124"/>
  <c r="D101" i="124" s="1"/>
  <c r="U93" i="124"/>
  <c r="D93" i="124" s="1"/>
  <c r="J37" i="118"/>
  <c r="F37" i="118"/>
  <c r="J39" i="106"/>
  <c r="F39" i="106"/>
  <c r="G17" i="107"/>
  <c r="E17" i="107"/>
  <c r="J45" i="105"/>
  <c r="F45" i="105"/>
  <c r="I6" i="22"/>
  <c r="G6" i="22"/>
  <c r="E6" i="22"/>
  <c r="C36" i="110"/>
  <c r="T25" i="124"/>
  <c r="C36" i="109"/>
  <c r="T81" i="124"/>
  <c r="T82" i="124"/>
  <c r="C35" i="116"/>
  <c r="T15" i="124"/>
  <c r="C36" i="115"/>
  <c r="C36" i="112"/>
  <c r="D10" i="124"/>
  <c r="T13" i="124"/>
  <c r="T32" i="124"/>
  <c r="C34" i="117"/>
  <c r="C36" i="111"/>
  <c r="T14" i="124"/>
  <c r="T12" i="124"/>
  <c r="C58" i="109"/>
  <c r="C36" i="113"/>
  <c r="T33" i="124"/>
  <c r="T35" i="124"/>
  <c r="T24" i="124"/>
  <c r="C36" i="114"/>
  <c r="T26" i="124"/>
  <c r="T80" i="124"/>
  <c r="U81" i="124" l="1"/>
  <c r="D81" i="124" s="1"/>
  <c r="U82" i="124"/>
  <c r="D82" i="124" s="1"/>
  <c r="U80" i="124"/>
  <c r="D80" i="124" s="1"/>
  <c r="U32" i="124"/>
  <c r="D32" i="124" s="1"/>
  <c r="U33" i="124"/>
  <c r="D33" i="124" s="1"/>
  <c r="U35" i="124"/>
  <c r="D35" i="124" s="1"/>
  <c r="U24" i="124"/>
  <c r="D24" i="124" s="1"/>
  <c r="D45" i="124"/>
  <c r="U25" i="124"/>
  <c r="D25" i="124" s="1"/>
  <c r="U26" i="124"/>
  <c r="D26" i="124" s="1"/>
  <c r="D49" i="124"/>
  <c r="D50" i="124"/>
  <c r="D51" i="124"/>
  <c r="D48" i="124"/>
  <c r="D44" i="124"/>
  <c r="D46" i="124"/>
  <c r="D47" i="124"/>
  <c r="U13" i="124"/>
  <c r="D13" i="124" s="1"/>
  <c r="U15" i="124"/>
  <c r="D15" i="124" s="1"/>
  <c r="U14" i="124"/>
  <c r="D14" i="124" s="1"/>
  <c r="U12" i="124"/>
  <c r="D12" i="124" s="1"/>
  <c r="J46" i="6"/>
  <c r="F46" i="6"/>
  <c r="F30" i="121"/>
  <c r="F32" i="121"/>
  <c r="F37" i="121"/>
  <c r="F28" i="121"/>
  <c r="D2" i="107" l="1"/>
  <c r="F14" i="122"/>
  <c r="F46" i="122"/>
  <c r="F26" i="122"/>
  <c r="F32" i="122"/>
  <c r="F29" i="121"/>
  <c r="F22" i="122"/>
  <c r="F20" i="121"/>
  <c r="D50" i="107"/>
  <c r="D55" i="107"/>
  <c r="F18" i="121"/>
  <c r="F41" i="122"/>
  <c r="F42" i="122"/>
  <c r="F19" i="121"/>
  <c r="F15" i="122"/>
  <c r="F13" i="122"/>
  <c r="F19" i="122"/>
  <c r="F23" i="122"/>
  <c r="F48" i="122"/>
  <c r="F49" i="122"/>
  <c r="D32" i="107"/>
  <c r="F52" i="122"/>
  <c r="F40" i="122"/>
  <c r="F16" i="122"/>
  <c r="F33" i="122"/>
  <c r="D3" i="122"/>
  <c r="L24" i="122"/>
  <c r="H30" i="122"/>
  <c r="J40" i="122"/>
  <c r="H51" i="122"/>
  <c r="H18" i="122"/>
  <c r="H17" i="122"/>
  <c r="L31" i="122"/>
  <c r="N17" i="122"/>
  <c r="H27" i="122"/>
  <c r="O22" i="122"/>
  <c r="F15" i="121"/>
  <c r="H11" i="122"/>
  <c r="O11" i="122"/>
  <c r="F11" i="122"/>
  <c r="F35" i="121"/>
  <c r="M41" i="122"/>
  <c r="N24" i="122"/>
  <c r="I16" i="122"/>
  <c r="F18" i="122"/>
  <c r="N28" i="122"/>
  <c r="H48" i="122"/>
  <c r="M15" i="122"/>
  <c r="I20" i="122"/>
  <c r="M26" i="122"/>
  <c r="L25" i="122"/>
  <c r="M22" i="122"/>
  <c r="H16" i="122"/>
  <c r="H22" i="122"/>
  <c r="M19" i="122"/>
  <c r="I18" i="122"/>
  <c r="M11" i="122"/>
  <c r="M29" i="122"/>
  <c r="H25" i="122"/>
  <c r="L40" i="122"/>
  <c r="M50" i="122"/>
  <c r="N26" i="122"/>
  <c r="H23" i="122"/>
  <c r="B4" i="96"/>
  <c r="D65" i="107"/>
  <c r="N44" i="96"/>
  <c r="H26" i="96"/>
  <c r="F17" i="121"/>
  <c r="F28" i="122"/>
  <c r="H15" i="122"/>
  <c r="I32" i="122"/>
  <c r="N19" i="122"/>
  <c r="H26" i="122"/>
  <c r="F27" i="122"/>
  <c r="M25" i="122"/>
  <c r="N31" i="122"/>
  <c r="O25" i="122"/>
  <c r="I17" i="122"/>
  <c r="H33" i="122"/>
  <c r="K43" i="96"/>
  <c r="I27" i="96"/>
  <c r="I15" i="122"/>
  <c r="L32" i="122"/>
  <c r="H20" i="122"/>
  <c r="D31" i="107"/>
  <c r="N30" i="122"/>
  <c r="N16" i="122"/>
  <c r="I13" i="122"/>
  <c r="F24" i="121"/>
  <c r="J41" i="122"/>
  <c r="H52" i="122"/>
  <c r="N41" i="122"/>
  <c r="M51" i="122"/>
  <c r="M46" i="122"/>
  <c r="I31" i="122"/>
  <c r="I47" i="122"/>
  <c r="N42" i="122"/>
  <c r="F47" i="122"/>
  <c r="D76" i="107"/>
  <c r="M18" i="96"/>
  <c r="F27" i="121"/>
  <c r="D53" i="107"/>
  <c r="P43" i="96"/>
  <c r="O41" i="122"/>
  <c r="M12" i="122"/>
  <c r="H46" i="122"/>
  <c r="N12" i="122"/>
  <c r="D54" i="107"/>
  <c r="M52" i="122"/>
  <c r="H41" i="122"/>
  <c r="O32" i="122"/>
  <c r="M16" i="122"/>
  <c r="I25" i="122"/>
  <c r="M21" i="96"/>
  <c r="O20" i="122"/>
  <c r="N23" i="122"/>
  <c r="N47" i="122"/>
  <c r="H34" i="122"/>
  <c r="F25" i="122"/>
  <c r="H43" i="96"/>
  <c r="I48" i="122"/>
  <c r="O30" i="122"/>
  <c r="N43" i="96"/>
  <c r="O12" i="122"/>
  <c r="N48" i="122"/>
  <c r="I41" i="122"/>
  <c r="H13" i="122"/>
  <c r="H27" i="96"/>
  <c r="F21" i="121"/>
  <c r="M19" i="96"/>
  <c r="F24" i="122"/>
  <c r="D52" i="107"/>
  <c r="M48" i="122"/>
  <c r="I26" i="122"/>
  <c r="H29" i="122"/>
  <c r="M21" i="122"/>
  <c r="I21" i="122"/>
  <c r="F26" i="121"/>
  <c r="R44" i="96"/>
  <c r="O18" i="122"/>
  <c r="M24" i="122"/>
  <c r="D51" i="107"/>
  <c r="M27" i="122"/>
  <c r="I12" i="122"/>
  <c r="O42" i="122"/>
  <c r="N51" i="122"/>
  <c r="L41" i="122"/>
  <c r="N32" i="122"/>
  <c r="F31" i="122"/>
  <c r="J8" i="96"/>
  <c r="L18" i="122"/>
  <c r="H14" i="122"/>
  <c r="L27" i="122"/>
  <c r="O19" i="122"/>
  <c r="O15" i="122"/>
  <c r="H50" i="122"/>
  <c r="H19" i="122"/>
  <c r="I52" i="122"/>
  <c r="F50" i="122"/>
  <c r="D22" i="107"/>
  <c r="R43" i="96"/>
  <c r="F51" i="122"/>
  <c r="F29" i="122"/>
  <c r="Q44" i="96"/>
  <c r="N21" i="122"/>
  <c r="I46" i="122"/>
  <c r="I14" i="122"/>
  <c r="D25" i="107"/>
  <c r="F34" i="122"/>
  <c r="M24" i="96"/>
  <c r="O24" i="122"/>
  <c r="N40" i="122"/>
  <c r="M22" i="96"/>
  <c r="F23" i="121"/>
  <c r="L15" i="122"/>
  <c r="M20" i="122"/>
  <c r="N25" i="122"/>
  <c r="I49" i="122"/>
  <c r="I40" i="122"/>
  <c r="I26" i="96"/>
  <c r="J44" i="96"/>
  <c r="I29" i="122"/>
  <c r="N20" i="122"/>
  <c r="L12" i="122"/>
  <c r="H12" i="122"/>
  <c r="L30" i="122"/>
  <c r="M13" i="122"/>
  <c r="I22" i="122"/>
  <c r="N27" i="122"/>
  <c r="M14" i="122"/>
  <c r="M32" i="122"/>
  <c r="H31" i="122"/>
  <c r="I50" i="122"/>
  <c r="O34" i="122"/>
  <c r="O26" i="122"/>
  <c r="O29" i="122"/>
  <c r="N46" i="122"/>
  <c r="L29" i="122"/>
  <c r="M18" i="122"/>
  <c r="N50" i="122"/>
  <c r="L17" i="122"/>
  <c r="L11" i="122"/>
  <c r="N22" i="122"/>
  <c r="H32" i="122"/>
  <c r="N14" i="122"/>
  <c r="I34" i="122"/>
  <c r="M33" i="122"/>
  <c r="M17" i="122"/>
  <c r="N11" i="122"/>
  <c r="M34" i="122"/>
  <c r="O28" i="122"/>
  <c r="M49" i="122"/>
  <c r="O23" i="122"/>
  <c r="N52" i="122"/>
  <c r="O31" i="122"/>
  <c r="O27" i="122"/>
  <c r="I30" i="122"/>
  <c r="N49" i="122"/>
  <c r="O17" i="122"/>
  <c r="H28" i="122"/>
  <c r="L20" i="122"/>
  <c r="L33" i="122"/>
  <c r="N29" i="122"/>
  <c r="L16" i="122"/>
  <c r="I33" i="122"/>
  <c r="I11" i="122"/>
  <c r="I27" i="122"/>
  <c r="L28" i="122"/>
  <c r="L42" i="122"/>
  <c r="I28" i="122"/>
  <c r="N13" i="122"/>
  <c r="H42" i="122"/>
  <c r="H40" i="122"/>
  <c r="M42" i="122"/>
  <c r="H47" i="122"/>
  <c r="N18" i="122"/>
  <c r="O21" i="122"/>
  <c r="H21" i="122"/>
  <c r="F37" i="122"/>
  <c r="M28" i="122"/>
  <c r="O14" i="122"/>
  <c r="I23" i="122"/>
  <c r="O13" i="122"/>
  <c r="L13" i="122"/>
  <c r="O16" i="122"/>
  <c r="N15" i="122"/>
  <c r="L22" i="122"/>
  <c r="H24" i="122"/>
  <c r="I42" i="122"/>
  <c r="L26" i="122"/>
  <c r="N34" i="122"/>
  <c r="M31" i="122"/>
  <c r="L14" i="122"/>
  <c r="N33" i="122"/>
  <c r="L21" i="122"/>
  <c r="L34" i="122"/>
  <c r="J42" i="122"/>
  <c r="L23" i="122"/>
  <c r="I24" i="122"/>
  <c r="M23" i="122"/>
  <c r="M30" i="122"/>
  <c r="O33" i="122"/>
  <c r="I51" i="122"/>
  <c r="M47" i="122"/>
  <c r="I19" i="122"/>
  <c r="M40" i="122"/>
  <c r="L19" i="122"/>
  <c r="O40" i="122"/>
  <c r="H49" i="122"/>
  <c r="M17" i="96"/>
  <c r="I12" i="96"/>
  <c r="I44" i="96"/>
  <c r="I8" i="96"/>
  <c r="O44" i="96"/>
  <c r="Q43" i="96"/>
  <c r="M16" i="96"/>
  <c r="I43" i="96"/>
  <c r="H19" i="96"/>
  <c r="M20" i="96"/>
  <c r="M15" i="96"/>
  <c r="J43" i="96"/>
  <c r="P44" i="96"/>
  <c r="H44" i="96"/>
  <c r="K44" i="96"/>
  <c r="O43" i="96"/>
  <c r="M23" i="96"/>
  <c r="K20" i="122" l="1"/>
  <c r="J20" i="122"/>
  <c r="Q20" i="122"/>
  <c r="P20" i="122"/>
  <c r="R20" i="122"/>
  <c r="N9" i="122"/>
  <c r="F45" i="13" s="1"/>
  <c r="M9" i="122"/>
  <c r="O9" i="122"/>
  <c r="H45" i="13" s="1"/>
  <c r="K30" i="122"/>
  <c r="Q30" i="122"/>
  <c r="J30" i="122"/>
  <c r="P30" i="122"/>
  <c r="R30" i="122"/>
  <c r="R21" i="122"/>
  <c r="Q21" i="122"/>
  <c r="P21" i="122"/>
  <c r="K21" i="122"/>
  <c r="J21" i="122"/>
  <c r="R12" i="122"/>
  <c r="K12" i="122"/>
  <c r="Q12" i="122"/>
  <c r="P17" i="122"/>
  <c r="K17" i="122"/>
  <c r="P12" i="122"/>
  <c r="J12" i="122"/>
  <c r="J17" i="122"/>
  <c r="R17" i="122"/>
  <c r="Q17" i="122"/>
  <c r="N23" i="96"/>
  <c r="N24" i="96"/>
  <c r="N19" i="96"/>
  <c r="N20" i="96"/>
  <c r="N22" i="96"/>
  <c r="N21" i="96"/>
  <c r="N16" i="96"/>
  <c r="N15" i="96"/>
  <c r="N17" i="96"/>
  <c r="N18" i="96"/>
  <c r="C21" i="96"/>
  <c r="R34" i="122"/>
  <c r="R28" i="122"/>
  <c r="R15" i="122"/>
  <c r="R23" i="122"/>
  <c r="R13" i="122"/>
  <c r="R27" i="122"/>
  <c r="R32" i="122"/>
  <c r="R22" i="122"/>
  <c r="R11" i="122"/>
  <c r="R16" i="122"/>
  <c r="R33" i="122"/>
  <c r="R24" i="122"/>
  <c r="R19" i="122"/>
  <c r="R26" i="122"/>
  <c r="R25" i="122"/>
  <c r="R31" i="122"/>
  <c r="R18" i="122"/>
  <c r="R29" i="122"/>
  <c r="R14" i="122"/>
  <c r="L9" i="122"/>
  <c r="P26" i="122"/>
  <c r="Q31" i="122"/>
  <c r="Q25" i="122"/>
  <c r="Q29" i="122"/>
  <c r="Q28" i="122"/>
  <c r="P31" i="122"/>
  <c r="Q26" i="122"/>
  <c r="P25" i="122"/>
  <c r="P29" i="122"/>
  <c r="P28" i="122"/>
  <c r="Q16" i="122"/>
  <c r="P16" i="122"/>
  <c r="Q19" i="122"/>
  <c r="P34" i="122"/>
  <c r="P32" i="122"/>
  <c r="P15" i="122"/>
  <c r="H9" i="122"/>
  <c r="Q34" i="122"/>
  <c r="Q22" i="122"/>
  <c r="P18" i="122"/>
  <c r="Q11" i="122"/>
  <c r="P33" i="122"/>
  <c r="Q18" i="122"/>
  <c r="Q24" i="122"/>
  <c r="P24" i="122"/>
  <c r="Q27" i="122"/>
  <c r="P14" i="122"/>
  <c r="P13" i="122"/>
  <c r="P22" i="122"/>
  <c r="Q23" i="122"/>
  <c r="Q33" i="122"/>
  <c r="P23" i="122"/>
  <c r="Q14" i="122"/>
  <c r="P11" i="122"/>
  <c r="J9" i="122"/>
  <c r="P19" i="122"/>
  <c r="Q15" i="122"/>
  <c r="Q32" i="122"/>
  <c r="Q13" i="122"/>
  <c r="P27" i="122"/>
  <c r="J28" i="122"/>
  <c r="K29" i="122"/>
  <c r="J26" i="122"/>
  <c r="J25" i="122"/>
  <c r="K28" i="122"/>
  <c r="K31" i="122"/>
  <c r="K26" i="122"/>
  <c r="K25" i="122"/>
  <c r="J31" i="122"/>
  <c r="J29" i="122"/>
  <c r="I54" i="122"/>
  <c r="H54" i="122"/>
  <c r="J34" i="122"/>
  <c r="K34" i="122"/>
  <c r="J15" i="122"/>
  <c r="K19" i="122"/>
  <c r="J27" i="122"/>
  <c r="K27" i="122"/>
  <c r="J16" i="122"/>
  <c r="J23" i="122"/>
  <c r="K15" i="122"/>
  <c r="K11" i="122"/>
  <c r="J14" i="122"/>
  <c r="J11" i="122"/>
  <c r="K23" i="122"/>
  <c r="J32" i="122"/>
  <c r="K24" i="122"/>
  <c r="K13" i="122"/>
  <c r="K16" i="122"/>
  <c r="K33" i="122"/>
  <c r="J13" i="122"/>
  <c r="J19" i="122"/>
  <c r="K14" i="122"/>
  <c r="J33" i="122"/>
  <c r="K32" i="122"/>
  <c r="K22" i="122"/>
  <c r="J24" i="122"/>
  <c r="J22" i="122"/>
  <c r="K18" i="122"/>
  <c r="J18" i="122"/>
  <c r="L62" i="3"/>
  <c r="L63" i="3"/>
  <c r="L64" i="3"/>
  <c r="L61" i="3"/>
  <c r="F11" i="121"/>
  <c r="D3" i="121"/>
  <c r="L28" i="121"/>
  <c r="M25" i="121"/>
  <c r="H20" i="121"/>
  <c r="L19" i="121"/>
  <c r="M24" i="121"/>
  <c r="L13" i="121"/>
  <c r="M11" i="121"/>
  <c r="L18" i="121"/>
  <c r="H30" i="121"/>
  <c r="N16" i="121"/>
  <c r="G45" i="121"/>
  <c r="H46" i="121"/>
  <c r="G19" i="121"/>
  <c r="N8" i="121"/>
  <c r="M26" i="121"/>
  <c r="G9" i="121"/>
  <c r="H9" i="121"/>
  <c r="L31" i="121"/>
  <c r="M34" i="121"/>
  <c r="G34" i="121"/>
  <c r="L17" i="121"/>
  <c r="G20" i="121"/>
  <c r="F46" i="121"/>
  <c r="M36" i="121"/>
  <c r="G10" i="121"/>
  <c r="N28" i="121"/>
  <c r="L37" i="121"/>
  <c r="G32" i="121"/>
  <c r="G28" i="121"/>
  <c r="M30" i="121"/>
  <c r="N26" i="121"/>
  <c r="G17" i="121"/>
  <c r="F42" i="121"/>
  <c r="L11" i="121"/>
  <c r="L38" i="121"/>
  <c r="G35" i="121"/>
  <c r="F22" i="121"/>
  <c r="M35" i="121"/>
  <c r="L25" i="121"/>
  <c r="G27" i="121"/>
  <c r="G13" i="121"/>
  <c r="F9" i="121"/>
  <c r="H21" i="121"/>
  <c r="N38" i="121"/>
  <c r="N24" i="121"/>
  <c r="L29" i="121"/>
  <c r="M28" i="121"/>
  <c r="H8" i="121"/>
  <c r="M17" i="121"/>
  <c r="L34" i="121"/>
  <c r="M16" i="121"/>
  <c r="M9" i="121"/>
  <c r="H17" i="121"/>
  <c r="H23" i="121"/>
  <c r="L30" i="121"/>
  <c r="L14" i="121"/>
  <c r="N37" i="121"/>
  <c r="N36" i="121"/>
  <c r="M19" i="121"/>
  <c r="H14" i="121"/>
  <c r="M13" i="121"/>
  <c r="H22" i="121"/>
  <c r="N14" i="121"/>
  <c r="N13" i="121"/>
  <c r="G16" i="121"/>
  <c r="M12" i="121"/>
  <c r="G8" i="121"/>
  <c r="L24" i="121"/>
  <c r="L21" i="121"/>
  <c r="N17" i="121"/>
  <c r="G18" i="121"/>
  <c r="L36" i="121"/>
  <c r="H19" i="121"/>
  <c r="H29" i="121"/>
  <c r="H12" i="121"/>
  <c r="N32" i="121"/>
  <c r="N29" i="121"/>
  <c r="G14" i="121"/>
  <c r="M10" i="121"/>
  <c r="H18" i="121"/>
  <c r="H10" i="121"/>
  <c r="L23" i="121"/>
  <c r="H24" i="121"/>
  <c r="F45" i="121"/>
  <c r="G38" i="121"/>
  <c r="N10" i="121"/>
  <c r="G30" i="121"/>
  <c r="G25" i="121"/>
  <c r="N22" i="121"/>
  <c r="M33" i="121"/>
  <c r="N20" i="121"/>
  <c r="N19" i="121"/>
  <c r="H27" i="121"/>
  <c r="N15" i="121"/>
  <c r="M27" i="121"/>
  <c r="H11" i="121"/>
  <c r="L20" i="121"/>
  <c r="L16" i="121"/>
  <c r="L10" i="121"/>
  <c r="N27" i="121"/>
  <c r="H15" i="121"/>
  <c r="M32" i="121"/>
  <c r="M20" i="121"/>
  <c r="H36" i="121"/>
  <c r="L27" i="121"/>
  <c r="G26" i="121"/>
  <c r="F8" i="121"/>
  <c r="L22" i="121"/>
  <c r="G31" i="121"/>
  <c r="N47" i="121"/>
  <c r="G46" i="121"/>
  <c r="G22" i="121"/>
  <c r="M15" i="121"/>
  <c r="F25" i="121"/>
  <c r="H45" i="121"/>
  <c r="N25" i="121"/>
  <c r="H37" i="121"/>
  <c r="L9" i="121"/>
  <c r="G33" i="121"/>
  <c r="N30" i="121"/>
  <c r="H16" i="121"/>
  <c r="N35" i="121"/>
  <c r="F10" i="121"/>
  <c r="L33" i="121"/>
  <c r="G29" i="121"/>
  <c r="M18" i="121"/>
  <c r="F47" i="121"/>
  <c r="L15" i="121"/>
  <c r="N12" i="121"/>
  <c r="M29" i="121"/>
  <c r="F16" i="121"/>
  <c r="G47" i="121"/>
  <c r="H38" i="121"/>
  <c r="M22" i="121"/>
  <c r="L32" i="121"/>
  <c r="N18" i="121"/>
  <c r="N34" i="121"/>
  <c r="H28" i="121"/>
  <c r="L8" i="121"/>
  <c r="G23" i="121"/>
  <c r="M37" i="121"/>
  <c r="L47" i="121"/>
  <c r="M14" i="121"/>
  <c r="N31" i="121"/>
  <c r="G24" i="121"/>
  <c r="M47" i="121"/>
  <c r="M31" i="121"/>
  <c r="N9" i="121"/>
  <c r="H31" i="121"/>
  <c r="L26" i="121"/>
  <c r="M23" i="121"/>
  <c r="L12" i="121"/>
  <c r="G21" i="121"/>
  <c r="H13" i="121"/>
  <c r="M8" i="121"/>
  <c r="N21" i="121"/>
  <c r="H35" i="121"/>
  <c r="N11" i="121"/>
  <c r="H25" i="121"/>
  <c r="H32" i="121"/>
  <c r="F13" i="121"/>
  <c r="F12" i="121"/>
  <c r="M21" i="121"/>
  <c r="N23" i="121"/>
  <c r="G12" i="121"/>
  <c r="H33" i="121"/>
  <c r="G11" i="121"/>
  <c r="H26" i="121"/>
  <c r="F14" i="121"/>
  <c r="G37" i="121"/>
  <c r="L35" i="121"/>
  <c r="H34" i="121"/>
  <c r="M38" i="121"/>
  <c r="G36" i="121"/>
  <c r="N33" i="121"/>
  <c r="H47" i="121"/>
  <c r="G15" i="121"/>
  <c r="J31" i="121" l="1"/>
  <c r="O34" i="121"/>
  <c r="I31" i="121"/>
  <c r="P33" i="121"/>
  <c r="I34" i="121"/>
  <c r="Q31" i="121"/>
  <c r="J34" i="121"/>
  <c r="O33" i="121"/>
  <c r="P31" i="121"/>
  <c r="O31" i="121"/>
  <c r="I33" i="121"/>
  <c r="Q34" i="121"/>
  <c r="J33" i="121"/>
  <c r="P34" i="121"/>
  <c r="Q33" i="121"/>
  <c r="I36" i="121"/>
  <c r="J36" i="121"/>
  <c r="P36" i="121"/>
  <c r="O36" i="121"/>
  <c r="Q36" i="121"/>
  <c r="I38" i="121"/>
  <c r="J38" i="121"/>
  <c r="O38" i="121"/>
  <c r="P38" i="121"/>
  <c r="Q38" i="121"/>
  <c r="P16" i="96"/>
  <c r="P15" i="96"/>
  <c r="I53" i="122"/>
  <c r="I55" i="122" s="1"/>
  <c r="D45" i="13"/>
  <c r="P30" i="121"/>
  <c r="I28" i="121"/>
  <c r="Q37" i="121"/>
  <c r="O30" i="121"/>
  <c r="P37" i="121"/>
  <c r="Q28" i="121"/>
  <c r="J32" i="121"/>
  <c r="O37" i="121"/>
  <c r="J37" i="121"/>
  <c r="I37" i="121"/>
  <c r="J28" i="121"/>
  <c r="P32" i="121"/>
  <c r="P28" i="121"/>
  <c r="I32" i="121"/>
  <c r="J30" i="121"/>
  <c r="O28" i="121"/>
  <c r="I30" i="121"/>
  <c r="Q32" i="121"/>
  <c r="Q30" i="121"/>
  <c r="O32" i="121"/>
  <c r="Q17" i="121"/>
  <c r="Q14" i="121"/>
  <c r="Q12" i="121"/>
  <c r="Q27" i="121"/>
  <c r="Q26" i="121"/>
  <c r="Q13" i="121"/>
  <c r="Q35" i="121"/>
  <c r="Q23" i="121"/>
  <c r="Q29" i="121"/>
  <c r="Q21" i="121"/>
  <c r="Q10" i="121"/>
  <c r="Q9" i="121"/>
  <c r="Q20" i="121"/>
  <c r="Q15" i="121"/>
  <c r="Q11" i="121"/>
  <c r="Q16" i="121"/>
  <c r="Q24" i="121"/>
  <c r="Q8" i="121"/>
  <c r="Q19" i="121"/>
  <c r="Q25" i="121"/>
  <c r="Q18" i="121"/>
  <c r="Q22" i="121"/>
  <c r="H53" i="122"/>
  <c r="H55" i="122" s="1"/>
  <c r="P25" i="121"/>
  <c r="O16" i="121"/>
  <c r="O23" i="121"/>
  <c r="O13" i="121"/>
  <c r="P13" i="121"/>
  <c r="P22" i="121"/>
  <c r="P19" i="121"/>
  <c r="P29" i="121"/>
  <c r="O21" i="121"/>
  <c r="O35" i="121"/>
  <c r="O9" i="121"/>
  <c r="P24" i="121"/>
  <c r="O14" i="121"/>
  <c r="O12" i="121"/>
  <c r="P15" i="121"/>
  <c r="O20" i="121"/>
  <c r="P26" i="121"/>
  <c r="P35" i="121"/>
  <c r="P8" i="121"/>
  <c r="P27" i="121"/>
  <c r="P21" i="121"/>
  <c r="O29" i="121"/>
  <c r="P9" i="121"/>
  <c r="P11" i="121"/>
  <c r="P14" i="121"/>
  <c r="O19" i="121"/>
  <c r="P16" i="121"/>
  <c r="O18" i="121"/>
  <c r="O15" i="121"/>
  <c r="O22" i="121"/>
  <c r="O25" i="121"/>
  <c r="P20" i="121"/>
  <c r="P17" i="121"/>
  <c r="O26" i="121"/>
  <c r="P23" i="121"/>
  <c r="O24" i="121"/>
  <c r="O27" i="121"/>
  <c r="P18" i="121"/>
  <c r="O10" i="121"/>
  <c r="P12" i="121"/>
  <c r="O8" i="121"/>
  <c r="O17" i="121"/>
  <c r="P10" i="121"/>
  <c r="O11" i="121"/>
  <c r="I26" i="121"/>
  <c r="J24" i="121"/>
  <c r="I27" i="121"/>
  <c r="J27" i="121"/>
  <c r="I19" i="121"/>
  <c r="I17" i="121"/>
  <c r="I29" i="121"/>
  <c r="J29" i="121"/>
  <c r="I15" i="121"/>
  <c r="J26" i="121"/>
  <c r="I20" i="121"/>
  <c r="J23" i="121"/>
  <c r="J19" i="121"/>
  <c r="J15" i="121"/>
  <c r="I18" i="121"/>
  <c r="J20" i="121"/>
  <c r="I23" i="121"/>
  <c r="J18" i="121"/>
  <c r="I35" i="121"/>
  <c r="J35" i="121"/>
  <c r="I21" i="121"/>
  <c r="J17" i="121"/>
  <c r="I24" i="121"/>
  <c r="J21" i="121"/>
  <c r="I10" i="121"/>
  <c r="I13" i="121"/>
  <c r="J8" i="121"/>
  <c r="I25" i="121"/>
  <c r="I14" i="121"/>
  <c r="I9" i="121"/>
  <c r="J10" i="121"/>
  <c r="J9" i="121"/>
  <c r="I12" i="121"/>
  <c r="I22" i="121"/>
  <c r="J14" i="121"/>
  <c r="J22" i="121"/>
  <c r="J11" i="121"/>
  <c r="I8" i="121"/>
  <c r="J13" i="121"/>
  <c r="I16" i="121"/>
  <c r="J12" i="121"/>
  <c r="J16" i="121"/>
  <c r="J25" i="121"/>
  <c r="I11" i="121"/>
  <c r="F77" i="119"/>
  <c r="Z13" i="119"/>
  <c r="Z12" i="119"/>
  <c r="Z11" i="119"/>
  <c r="Z10" i="119"/>
  <c r="Z9" i="119"/>
  <c r="Z8" i="119"/>
  <c r="Z7" i="119"/>
  <c r="Z6" i="119"/>
  <c r="Z5" i="119"/>
  <c r="L4" i="41"/>
  <c r="C41" i="119"/>
  <c r="A62" i="119"/>
  <c r="A94" i="119"/>
  <c r="C85" i="119"/>
  <c r="C38" i="119"/>
  <c r="B1" i="119"/>
  <c r="C79" i="119"/>
  <c r="C83" i="119"/>
  <c r="H33" i="119"/>
  <c r="C72" i="119"/>
  <c r="C71" i="119"/>
  <c r="F63" i="119"/>
  <c r="C51" i="119"/>
  <c r="H48" i="119"/>
  <c r="N1" i="119"/>
  <c r="C52" i="119"/>
  <c r="C49" i="119"/>
  <c r="C87" i="119"/>
  <c r="C68" i="119"/>
  <c r="I33" i="119"/>
  <c r="C66" i="119"/>
  <c r="C84" i="119"/>
  <c r="C56" i="119"/>
  <c r="C78" i="119"/>
  <c r="C37" i="119"/>
  <c r="C36" i="119"/>
  <c r="C69" i="119"/>
  <c r="C57" i="119"/>
  <c r="C39" i="119"/>
  <c r="C70" i="119"/>
  <c r="C65" i="119"/>
  <c r="E33" i="119"/>
  <c r="G63" i="119"/>
  <c r="I48" i="119"/>
  <c r="A32" i="119"/>
  <c r="E63" i="119"/>
  <c r="C55" i="119"/>
  <c r="C40" i="119"/>
  <c r="I63" i="119"/>
  <c r="G48" i="119"/>
  <c r="C42" i="119"/>
  <c r="C50" i="119"/>
  <c r="H63" i="119"/>
  <c r="F33" i="119"/>
  <c r="C53" i="119"/>
  <c r="C82" i="119"/>
  <c r="G33" i="119"/>
  <c r="C54" i="119"/>
  <c r="C64" i="119"/>
  <c r="F48" i="119"/>
  <c r="C81" i="119"/>
  <c r="A47" i="119"/>
  <c r="C34" i="119"/>
  <c r="C35" i="119"/>
  <c r="C67" i="119"/>
  <c r="D94" i="119"/>
  <c r="C86" i="119"/>
  <c r="E48" i="119"/>
  <c r="C80" i="119"/>
  <c r="D38" i="118" l="1"/>
  <c r="D10" i="118"/>
  <c r="M37" i="118" l="1"/>
  <c r="H37" i="118"/>
  <c r="D39" i="118"/>
  <c r="D7" i="118"/>
  <c r="D40" i="118"/>
  <c r="E48" i="118"/>
  <c r="F39" i="118"/>
  <c r="F40" i="118"/>
  <c r="L8" i="118"/>
  <c r="H38" i="118"/>
  <c r="K8" i="118"/>
  <c r="D29" i="118"/>
  <c r="H10" i="118"/>
  <c r="K43" i="118"/>
  <c r="I10" i="118"/>
  <c r="M38" i="118"/>
  <c r="A48" i="118"/>
  <c r="E26" i="118"/>
  <c r="L10" i="118"/>
  <c r="M40" i="118"/>
  <c r="H39" i="118"/>
  <c r="J38" i="118"/>
  <c r="M10" i="118"/>
  <c r="D26" i="118"/>
  <c r="D2" i="118"/>
  <c r="I8" i="118"/>
  <c r="D27" i="118"/>
  <c r="L38" i="118"/>
  <c r="K10" i="118"/>
  <c r="J8" i="118"/>
  <c r="J10" i="118"/>
  <c r="M7" i="118"/>
  <c r="M8" i="118"/>
  <c r="J39" i="118"/>
  <c r="D8" i="118"/>
  <c r="H40" i="118"/>
  <c r="L40" i="118"/>
  <c r="K42" i="118"/>
  <c r="I7" i="118"/>
  <c r="K7" i="118"/>
  <c r="H7" i="118"/>
  <c r="M39" i="118"/>
  <c r="J40" i="118"/>
  <c r="F38" i="118"/>
  <c r="E29" i="118"/>
  <c r="H8" i="118"/>
  <c r="L7" i="118"/>
  <c r="J7" i="118"/>
  <c r="L39" i="118"/>
  <c r="E27" i="118"/>
  <c r="F7" i="118" l="1"/>
  <c r="G7" i="118"/>
  <c r="F8" i="118"/>
  <c r="E10" i="118"/>
  <c r="F10" i="118"/>
  <c r="E8" i="118"/>
  <c r="G10" i="118"/>
  <c r="G8" i="118"/>
  <c r="E7" i="118"/>
  <c r="D34" i="118"/>
  <c r="B15" i="96"/>
  <c r="E9" i="45"/>
  <c r="E16" i="45"/>
  <c r="F11" i="45"/>
  <c r="E15" i="45"/>
  <c r="E22" i="45"/>
  <c r="F35" i="45"/>
  <c r="D24" i="107"/>
  <c r="E19" i="45"/>
  <c r="F14" i="45"/>
  <c r="E26" i="45"/>
  <c r="D23" i="107"/>
  <c r="F18" i="45"/>
  <c r="E29" i="45"/>
  <c r="E30" i="45"/>
  <c r="F13" i="45"/>
  <c r="E8" i="45"/>
  <c r="E12" i="45"/>
  <c r="E32" i="45"/>
  <c r="F12" i="45"/>
  <c r="F10" i="45"/>
  <c r="E33" i="45"/>
  <c r="F33" i="45"/>
  <c r="F28" i="45"/>
  <c r="F16" i="45"/>
  <c r="F34" i="45"/>
  <c r="F21" i="45"/>
  <c r="E23" i="45"/>
  <c r="E13" i="45"/>
  <c r="F27" i="45"/>
  <c r="E18" i="45"/>
  <c r="F22" i="45"/>
  <c r="E10" i="45"/>
  <c r="D21" i="107"/>
  <c r="D20" i="107"/>
  <c r="E25" i="45"/>
  <c r="E28" i="45"/>
  <c r="E14" i="45"/>
  <c r="E11" i="45"/>
  <c r="F19" i="45"/>
  <c r="F24" i="45"/>
  <c r="F26" i="45"/>
  <c r="E21" i="45"/>
  <c r="F8" i="45"/>
  <c r="E24" i="45"/>
  <c r="B1" i="45"/>
  <c r="E17" i="45"/>
  <c r="E7" i="45"/>
  <c r="F25" i="45"/>
  <c r="E31" i="45"/>
  <c r="F32" i="45"/>
  <c r="E34" i="45"/>
  <c r="A3" i="45"/>
  <c r="F23" i="45"/>
  <c r="E27" i="45"/>
  <c r="F31" i="45"/>
  <c r="F7" i="45"/>
  <c r="E35" i="45"/>
  <c r="F15" i="45"/>
  <c r="E20" i="45"/>
  <c r="F20" i="45"/>
  <c r="F29" i="45"/>
  <c r="F17" i="45"/>
  <c r="F30" i="45"/>
  <c r="F9" i="45"/>
  <c r="C42" i="117" l="1"/>
  <c r="D9" i="117"/>
  <c r="C43" i="116"/>
  <c r="D9" i="116"/>
  <c r="C44" i="115"/>
  <c r="D9" i="115"/>
  <c r="C44" i="114"/>
  <c r="D9" i="114"/>
  <c r="C44" i="113"/>
  <c r="D9" i="113"/>
  <c r="C44" i="112"/>
  <c r="D9" i="112"/>
  <c r="C44" i="111"/>
  <c r="D9" i="111"/>
  <c r="C44" i="110"/>
  <c r="D9" i="110"/>
  <c r="C44" i="109"/>
  <c r="D9" i="109"/>
  <c r="F17" i="107" l="1"/>
  <c r="M39" i="106"/>
  <c r="H39" i="106"/>
  <c r="M45" i="105" l="1"/>
  <c r="H45" i="105"/>
  <c r="I68" i="3" l="1"/>
  <c r="I69" i="3" s="1"/>
  <c r="G74" i="3" l="1"/>
  <c r="G71" i="3"/>
  <c r="L6" i="22"/>
  <c r="J6" i="22"/>
  <c r="H6" i="22"/>
  <c r="F6" i="22"/>
  <c r="S5" i="103"/>
  <c r="O5" i="103"/>
  <c r="L5" i="103"/>
  <c r="H5" i="103"/>
  <c r="D5" i="103"/>
  <c r="L4" i="103"/>
  <c r="S5" i="102"/>
  <c r="O5" i="102"/>
  <c r="L5" i="102"/>
  <c r="H5" i="102"/>
  <c r="D5" i="102"/>
  <c r="L4" i="102"/>
  <c r="C38" i="28" l="1"/>
  <c r="G69" i="28"/>
  <c r="F69" i="28"/>
  <c r="E69" i="28"/>
  <c r="G68" i="28"/>
  <c r="F68" i="28"/>
  <c r="E68" i="28"/>
  <c r="I66" i="3" l="1"/>
  <c r="A40" i="80" l="1"/>
  <c r="B8" i="96" l="1"/>
  <c r="A50" i="80" l="1"/>
  <c r="D49" i="28" l="1"/>
  <c r="C49" i="28"/>
  <c r="D9" i="28" l="1"/>
  <c r="E49" i="28" l="1"/>
  <c r="B23" i="96" l="1"/>
  <c r="J26" i="96"/>
  <c r="B24" i="96" s="1"/>
  <c r="J19" i="96"/>
  <c r="C20" i="96"/>
  <c r="I19" i="96"/>
  <c r="J27" i="96"/>
  <c r="B27" i="96" s="1"/>
  <c r="B26" i="96"/>
  <c r="I9" i="96"/>
  <c r="B14" i="96" s="1"/>
  <c r="B12" i="96"/>
  <c r="I13" i="96"/>
  <c r="S5" i="41"/>
  <c r="O5" i="41"/>
  <c r="L5" i="41"/>
  <c r="H5" i="41"/>
  <c r="D5" i="41"/>
  <c r="L4" i="18" l="1"/>
  <c r="D5" i="18"/>
  <c r="H5" i="18"/>
  <c r="L5" i="18"/>
  <c r="O5" i="18"/>
  <c r="S5" i="18"/>
  <c r="I42" i="13" l="1"/>
  <c r="G42" i="13"/>
  <c r="E42" i="13"/>
  <c r="M46" i="6"/>
  <c r="H46" i="6"/>
  <c r="A35" i="45"/>
  <c r="C21" i="117"/>
  <c r="D61" i="109"/>
  <c r="D61" i="117"/>
  <c r="C12" i="109"/>
  <c r="C22" i="110"/>
  <c r="D59" i="109"/>
  <c r="C56" i="10"/>
  <c r="C8" i="5"/>
  <c r="C37" i="12"/>
  <c r="C26" i="18"/>
  <c r="C6" i="43"/>
  <c r="D10" i="6"/>
  <c r="C27" i="5"/>
  <c r="C25" i="18"/>
  <c r="C19" i="115"/>
  <c r="C11" i="5"/>
  <c r="C12" i="117"/>
  <c r="C16" i="114"/>
  <c r="C18" i="44"/>
  <c r="D50" i="105"/>
  <c r="C21" i="111"/>
  <c r="D39" i="10"/>
  <c r="C28" i="111"/>
  <c r="C16" i="102"/>
  <c r="C14" i="22"/>
  <c r="H39" i="10"/>
  <c r="D60" i="107"/>
  <c r="E57" i="12"/>
  <c r="D72" i="107"/>
  <c r="I55" i="12"/>
  <c r="C6" i="102"/>
  <c r="A51" i="106"/>
  <c r="A3" i="117"/>
  <c r="C65" i="111"/>
  <c r="E55" i="12"/>
  <c r="C25" i="43"/>
  <c r="B1" i="6"/>
  <c r="C28" i="112"/>
  <c r="C11" i="18"/>
  <c r="C12" i="111"/>
  <c r="C16" i="115"/>
  <c r="B1" i="5"/>
  <c r="D62" i="114"/>
  <c r="C64" i="109"/>
  <c r="C26" i="114"/>
  <c r="C16" i="103"/>
  <c r="C21" i="112"/>
  <c r="H32" i="10"/>
  <c r="C18" i="113"/>
  <c r="E58" i="6"/>
  <c r="C12" i="44"/>
  <c r="E46" i="12"/>
  <c r="E45" i="12"/>
  <c r="C14" i="45"/>
  <c r="C8" i="102"/>
  <c r="C16" i="111"/>
  <c r="C13" i="43"/>
  <c r="C11" i="110"/>
  <c r="C59" i="114"/>
  <c r="D62" i="109"/>
  <c r="C14" i="102"/>
  <c r="C14" i="117"/>
  <c r="D14" i="107"/>
  <c r="D29" i="106"/>
  <c r="C14" i="111"/>
  <c r="C20" i="18"/>
  <c r="D27" i="79"/>
  <c r="C15" i="117"/>
  <c r="V1" i="102"/>
  <c r="C24" i="22"/>
  <c r="F18" i="43"/>
  <c r="C19" i="111"/>
  <c r="C15" i="109"/>
  <c r="I37" i="12"/>
  <c r="G1" i="18"/>
  <c r="J12" i="44"/>
  <c r="C28" i="114"/>
  <c r="C2" i="43"/>
  <c r="F23" i="42"/>
  <c r="H9" i="44"/>
  <c r="K1" i="18"/>
  <c r="C32" i="42"/>
  <c r="D36" i="107"/>
  <c r="D30" i="105"/>
  <c r="C11" i="44"/>
  <c r="D62" i="115"/>
  <c r="E39" i="119"/>
  <c r="E6" i="102"/>
  <c r="C9" i="102"/>
  <c r="D24" i="18"/>
  <c r="C9" i="103"/>
  <c r="H24" i="43"/>
  <c r="S11" i="18"/>
  <c r="K21" i="42"/>
  <c r="K18" i="22"/>
  <c r="C25" i="114"/>
  <c r="C25" i="45"/>
  <c r="C21" i="42"/>
  <c r="D13" i="107"/>
  <c r="C15" i="45"/>
  <c r="U21" i="18"/>
  <c r="R22" i="18"/>
  <c r="D64" i="114"/>
  <c r="C62" i="28"/>
  <c r="E63" i="3"/>
  <c r="M26" i="43"/>
  <c r="C12" i="116"/>
  <c r="G17" i="42"/>
  <c r="E48" i="12"/>
  <c r="E21" i="22"/>
  <c r="C17" i="103"/>
  <c r="C23" i="110"/>
  <c r="F39" i="10"/>
  <c r="K22" i="44"/>
  <c r="S9" i="41"/>
  <c r="C23" i="111"/>
  <c r="D87" i="119"/>
  <c r="C14" i="103"/>
  <c r="E15" i="43"/>
  <c r="C23" i="43"/>
  <c r="T14" i="103"/>
  <c r="G13" i="44"/>
  <c r="C11" i="114"/>
  <c r="C17" i="114"/>
  <c r="C25" i="22"/>
  <c r="C55" i="10"/>
  <c r="G18" i="44"/>
  <c r="D7" i="106"/>
  <c r="H23" i="43"/>
  <c r="C22" i="109"/>
  <c r="K44" i="12"/>
  <c r="V22" i="103"/>
  <c r="B1" i="18"/>
  <c r="E58" i="107"/>
  <c r="D21" i="103"/>
  <c r="J26" i="12"/>
  <c r="H65" i="119"/>
  <c r="C21" i="114"/>
  <c r="D12" i="107"/>
  <c r="C19" i="102"/>
  <c r="C20" i="45"/>
  <c r="A3" i="113"/>
  <c r="C11" i="109"/>
  <c r="D17" i="18"/>
  <c r="D63" i="107"/>
  <c r="C3" i="79"/>
  <c r="C8" i="42"/>
  <c r="H21" i="18"/>
  <c r="D82" i="119"/>
  <c r="F51" i="107"/>
  <c r="M12" i="44"/>
  <c r="H19" i="43"/>
  <c r="K25" i="22"/>
  <c r="H41" i="10"/>
  <c r="M13" i="42"/>
  <c r="D41" i="106"/>
  <c r="G21" i="43"/>
  <c r="D42" i="106"/>
  <c r="C8" i="45"/>
  <c r="H29" i="10"/>
  <c r="E8" i="80"/>
  <c r="E49" i="12"/>
  <c r="R25" i="103"/>
  <c r="C19" i="28"/>
  <c r="D33" i="105"/>
  <c r="I21" i="43"/>
  <c r="L25" i="42"/>
  <c r="G1" i="102"/>
  <c r="F23" i="103"/>
  <c r="H37" i="119"/>
  <c r="L23" i="43"/>
  <c r="E81" i="119"/>
  <c r="H69" i="119"/>
  <c r="D13" i="42"/>
  <c r="J8" i="18"/>
  <c r="F24" i="42"/>
  <c r="F75" i="107"/>
  <c r="T11" i="102"/>
  <c r="D7" i="105"/>
  <c r="C10" i="42"/>
  <c r="C28" i="28"/>
  <c r="D12" i="105"/>
  <c r="D49" i="107"/>
  <c r="D8" i="106"/>
  <c r="C24" i="102"/>
  <c r="A3" i="112"/>
  <c r="C26" i="103"/>
  <c r="J8" i="103"/>
  <c r="G24" i="44"/>
  <c r="D15" i="107"/>
  <c r="K1" i="102"/>
  <c r="J13" i="42"/>
  <c r="C18" i="28"/>
  <c r="C11" i="42"/>
  <c r="C65" i="112"/>
  <c r="E41" i="12"/>
  <c r="K9" i="18"/>
  <c r="U16" i="18"/>
  <c r="I24" i="22"/>
  <c r="V26" i="103"/>
  <c r="F55" i="119"/>
  <c r="C9" i="79"/>
  <c r="G32" i="10"/>
  <c r="C26" i="115"/>
  <c r="H26" i="102"/>
  <c r="C19" i="42"/>
  <c r="A2" i="79"/>
  <c r="C16" i="116"/>
  <c r="C23" i="18"/>
  <c r="C17" i="113"/>
  <c r="K21" i="44"/>
  <c r="C24" i="18"/>
  <c r="D59" i="28"/>
  <c r="D57" i="28"/>
  <c r="O19" i="103"/>
  <c r="K14" i="22"/>
  <c r="D63" i="114"/>
  <c r="C8" i="43"/>
  <c r="J55" i="12"/>
  <c r="C26" i="111"/>
  <c r="A32" i="18"/>
  <c r="C14" i="109"/>
  <c r="I14" i="43"/>
  <c r="D37" i="107"/>
  <c r="C15" i="44"/>
  <c r="A32" i="42"/>
  <c r="E8" i="41"/>
  <c r="P9" i="103"/>
  <c r="D32" i="6"/>
  <c r="S9" i="103"/>
  <c r="C8" i="18"/>
  <c r="C28" i="116"/>
  <c r="I53" i="12"/>
  <c r="E41" i="10"/>
  <c r="K26" i="44"/>
  <c r="D26" i="42"/>
  <c r="C19" i="109"/>
  <c r="C59" i="111"/>
  <c r="I29" i="22"/>
  <c r="C17" i="41"/>
  <c r="K53" i="12"/>
  <c r="D41" i="107"/>
  <c r="D42" i="119"/>
  <c r="I38" i="12"/>
  <c r="C31" i="22"/>
  <c r="A3" i="110"/>
  <c r="D22" i="44"/>
  <c r="D52" i="105"/>
  <c r="V9" i="18"/>
  <c r="L25" i="44"/>
  <c r="C17" i="28"/>
  <c r="M9" i="42"/>
  <c r="U10" i="18"/>
  <c r="D10" i="105"/>
  <c r="C14" i="110"/>
  <c r="A2" i="10"/>
  <c r="C2" i="119"/>
  <c r="L11" i="43"/>
  <c r="F10" i="44"/>
  <c r="C32" i="45"/>
  <c r="F29" i="10"/>
  <c r="G25" i="22"/>
  <c r="G50" i="107"/>
  <c r="G21" i="103"/>
  <c r="D7" i="103"/>
  <c r="U21" i="102"/>
  <c r="C35" i="45"/>
  <c r="C23" i="113"/>
  <c r="H23" i="42"/>
  <c r="I22" i="103"/>
  <c r="D8" i="6"/>
  <c r="U9" i="103"/>
  <c r="C28" i="110"/>
  <c r="E47" i="107"/>
  <c r="H26" i="28"/>
  <c r="C59" i="113"/>
  <c r="E25" i="18"/>
  <c r="C32" i="43"/>
  <c r="D60" i="117"/>
  <c r="C6" i="42"/>
  <c r="E29" i="10"/>
  <c r="C23" i="114"/>
  <c r="V7" i="103"/>
  <c r="C10" i="111"/>
  <c r="C17" i="43"/>
  <c r="D41" i="10"/>
  <c r="D64" i="110"/>
  <c r="C18" i="116"/>
  <c r="D1" i="22"/>
  <c r="D60" i="109"/>
  <c r="C23" i="116"/>
  <c r="C25" i="42"/>
  <c r="C18" i="18"/>
  <c r="D61" i="114"/>
  <c r="K20" i="18"/>
  <c r="C16" i="113"/>
  <c r="C13" i="22"/>
  <c r="H50" i="119"/>
  <c r="D26" i="102"/>
  <c r="I17" i="102"/>
  <c r="D63" i="110"/>
  <c r="C12" i="18"/>
  <c r="C17" i="102"/>
  <c r="C21" i="113"/>
  <c r="I18" i="103"/>
  <c r="G11" i="103"/>
  <c r="T7" i="41"/>
  <c r="C17" i="110"/>
  <c r="C25" i="117"/>
  <c r="J25" i="102"/>
  <c r="C8" i="44"/>
  <c r="C15" i="42"/>
  <c r="E8" i="43"/>
  <c r="C14" i="115"/>
  <c r="C17" i="44"/>
  <c r="C21" i="109"/>
  <c r="C2" i="44"/>
  <c r="C18" i="110"/>
  <c r="J13" i="103"/>
  <c r="H11" i="103"/>
  <c r="Q14" i="103"/>
  <c r="G8" i="18"/>
  <c r="C21" i="110"/>
  <c r="C6" i="103"/>
  <c r="E73" i="107"/>
  <c r="J22" i="103"/>
  <c r="I22" i="22"/>
  <c r="M24" i="44"/>
  <c r="G67" i="119"/>
  <c r="C6" i="18"/>
  <c r="C21" i="43"/>
  <c r="C16" i="22"/>
  <c r="C11" i="45"/>
  <c r="G17" i="79"/>
  <c r="R18" i="18"/>
  <c r="D31" i="106"/>
  <c r="C21" i="45"/>
  <c r="C30" i="10"/>
  <c r="D10" i="10"/>
  <c r="B1" i="103"/>
  <c r="D6" i="44"/>
  <c r="K9" i="42"/>
  <c r="C14" i="113"/>
  <c r="C9" i="5"/>
  <c r="E53" i="12"/>
  <c r="C13" i="102"/>
  <c r="C10" i="22"/>
  <c r="S23" i="102"/>
  <c r="M12" i="42"/>
  <c r="E61" i="12"/>
  <c r="A41" i="45"/>
  <c r="A2" i="116"/>
  <c r="C15" i="116"/>
  <c r="D31" i="6"/>
  <c r="G23" i="42"/>
  <c r="C18" i="115"/>
  <c r="E61" i="105"/>
  <c r="C8" i="79"/>
  <c r="E10" i="10"/>
  <c r="E37" i="12"/>
  <c r="I69" i="119"/>
  <c r="D8" i="102"/>
  <c r="E86" i="119"/>
  <c r="E80" i="119"/>
  <c r="D9" i="6"/>
  <c r="J6" i="41"/>
  <c r="D40" i="107"/>
  <c r="C17" i="109"/>
  <c r="C25" i="113"/>
  <c r="D37" i="119"/>
  <c r="G37" i="119"/>
  <c r="C11" i="103"/>
  <c r="D69" i="119"/>
  <c r="D62" i="117"/>
  <c r="K10" i="22"/>
  <c r="D62" i="110"/>
  <c r="D73" i="107"/>
  <c r="K17" i="103"/>
  <c r="E12" i="102"/>
  <c r="D32" i="10"/>
  <c r="C65" i="115"/>
  <c r="C10" i="43"/>
  <c r="D38" i="107"/>
  <c r="C21" i="44"/>
  <c r="Q22" i="102"/>
  <c r="C13" i="42"/>
  <c r="C28" i="113"/>
  <c r="C13" i="44"/>
  <c r="C16" i="43"/>
  <c r="C11" i="116"/>
  <c r="J19" i="42"/>
  <c r="C24" i="43"/>
  <c r="G25" i="43"/>
  <c r="K24" i="102"/>
  <c r="O26" i="18"/>
  <c r="G10" i="102"/>
  <c r="D19" i="107"/>
  <c r="F12" i="103"/>
  <c r="J17" i="18"/>
  <c r="E53" i="107"/>
  <c r="E66" i="119"/>
  <c r="P23" i="102"/>
  <c r="S26" i="18"/>
  <c r="H26" i="18"/>
  <c r="I10" i="115"/>
  <c r="L20" i="44"/>
  <c r="K29" i="22"/>
  <c r="D71" i="107"/>
  <c r="D63" i="112"/>
  <c r="C31" i="10"/>
  <c r="C57" i="117"/>
  <c r="C17" i="116"/>
  <c r="C14" i="112"/>
  <c r="C22" i="43"/>
  <c r="C10" i="44"/>
  <c r="D14" i="105"/>
  <c r="F21" i="43"/>
  <c r="C26" i="116"/>
  <c r="D12" i="10"/>
  <c r="C33" i="22"/>
  <c r="I7" i="102"/>
  <c r="C59" i="116"/>
  <c r="C29" i="5"/>
  <c r="E51" i="106"/>
  <c r="P6" i="102"/>
  <c r="D50" i="6"/>
  <c r="C17" i="115"/>
  <c r="R24" i="103"/>
  <c r="H13" i="18"/>
  <c r="F24" i="43"/>
  <c r="C12" i="112"/>
  <c r="C63" i="117"/>
  <c r="D64" i="116"/>
  <c r="D61" i="113"/>
  <c r="K16" i="102"/>
  <c r="C11" i="111"/>
  <c r="C12" i="22"/>
  <c r="R1" i="102"/>
  <c r="C10" i="102"/>
  <c r="E50" i="12"/>
  <c r="D20" i="42"/>
  <c r="C28" i="44"/>
  <c r="E6" i="103"/>
  <c r="P25" i="103"/>
  <c r="E41" i="107"/>
  <c r="K7" i="41"/>
  <c r="C18" i="102"/>
  <c r="C59" i="115"/>
  <c r="C32" i="103"/>
  <c r="C10" i="112"/>
  <c r="C65" i="113"/>
  <c r="H14" i="113" s="1"/>
  <c r="D43" i="106"/>
  <c r="C12" i="113"/>
  <c r="S16" i="103"/>
  <c r="C15" i="115"/>
  <c r="C21" i="22"/>
  <c r="D51" i="105"/>
  <c r="F32" i="10"/>
  <c r="U9" i="102"/>
  <c r="D62" i="112"/>
  <c r="C12" i="28"/>
  <c r="C11" i="112"/>
  <c r="C25" i="110"/>
  <c r="C18" i="114"/>
  <c r="C26" i="113"/>
  <c r="D47" i="107"/>
  <c r="K22" i="18"/>
  <c r="D31" i="105"/>
  <c r="D11" i="106"/>
  <c r="D69" i="107"/>
  <c r="B1" i="102"/>
  <c r="G15" i="18"/>
  <c r="Q8" i="103"/>
  <c r="C12" i="43"/>
  <c r="C8" i="22"/>
  <c r="C10" i="110"/>
  <c r="C24" i="44"/>
  <c r="C15" i="18"/>
  <c r="C16" i="117"/>
  <c r="E36" i="12"/>
  <c r="F25" i="42"/>
  <c r="D62" i="113"/>
  <c r="C12" i="114"/>
  <c r="D11" i="105"/>
  <c r="X12" i="119"/>
  <c r="G37" i="107"/>
  <c r="S14" i="103"/>
  <c r="D68" i="119"/>
  <c r="D48" i="5"/>
  <c r="D59" i="107"/>
  <c r="X7" i="119"/>
  <c r="C15" i="114"/>
  <c r="V7" i="119"/>
  <c r="E9" i="44"/>
  <c r="D9" i="106"/>
  <c r="A27" i="79"/>
  <c r="C22" i="44"/>
  <c r="C11" i="117"/>
  <c r="C7" i="18"/>
  <c r="C22" i="42"/>
  <c r="O15" i="103"/>
  <c r="H16" i="43"/>
  <c r="V7" i="18"/>
  <c r="R1" i="18"/>
  <c r="C65" i="116"/>
  <c r="C22" i="22"/>
  <c r="L26" i="42"/>
  <c r="C9" i="18"/>
  <c r="C18" i="103"/>
  <c r="C9" i="22"/>
  <c r="D30" i="107"/>
  <c r="C25" i="116"/>
  <c r="C19" i="44"/>
  <c r="I39" i="10"/>
  <c r="C23" i="42"/>
  <c r="C28" i="115"/>
  <c r="E64" i="3"/>
  <c r="E54" i="12"/>
  <c r="V1" i="18"/>
  <c r="C19" i="116"/>
  <c r="C30" i="45"/>
  <c r="C20" i="103"/>
  <c r="C18" i="43"/>
  <c r="D61" i="112"/>
  <c r="C26" i="45"/>
  <c r="C22" i="115"/>
  <c r="I6" i="103"/>
  <c r="G7" i="79"/>
  <c r="C10" i="109"/>
  <c r="C22" i="18"/>
  <c r="C22" i="116"/>
  <c r="G24" i="42"/>
  <c r="H40" i="106"/>
  <c r="K36" i="12"/>
  <c r="J6" i="103"/>
  <c r="C25" i="44"/>
  <c r="C34" i="22"/>
  <c r="D60" i="110"/>
  <c r="D46" i="105"/>
  <c r="A2" i="111"/>
  <c r="F26" i="18"/>
  <c r="C65" i="110"/>
  <c r="C26" i="42"/>
  <c r="A2" i="112"/>
  <c r="C23" i="112"/>
  <c r="G20" i="43"/>
  <c r="C15" i="112"/>
  <c r="Q23" i="103"/>
  <c r="H23" i="102"/>
  <c r="C9" i="43"/>
  <c r="I50" i="12"/>
  <c r="C32" i="44"/>
  <c r="C30" i="22"/>
  <c r="C17" i="112"/>
  <c r="D10" i="107"/>
  <c r="P8" i="103"/>
  <c r="E58" i="12"/>
  <c r="E59" i="12"/>
  <c r="D60" i="113"/>
  <c r="E32" i="10"/>
  <c r="C20" i="43"/>
  <c r="G41" i="10"/>
  <c r="J11" i="18"/>
  <c r="D53" i="119"/>
  <c r="C15" i="111"/>
  <c r="F12" i="44"/>
  <c r="A32" i="103"/>
  <c r="C16" i="45"/>
  <c r="D13" i="10"/>
  <c r="C11" i="102"/>
  <c r="C6" i="44"/>
  <c r="C22" i="103"/>
  <c r="D47" i="105"/>
  <c r="C23" i="45"/>
  <c r="D63" i="109"/>
  <c r="C17" i="22"/>
  <c r="A32" i="44"/>
  <c r="F41" i="106"/>
  <c r="C65" i="114"/>
  <c r="H17" i="43"/>
  <c r="A41" i="22"/>
  <c r="D59" i="117"/>
  <c r="K10" i="44"/>
  <c r="C13" i="18"/>
  <c r="D70" i="107"/>
  <c r="C27" i="22"/>
  <c r="C10" i="79"/>
  <c r="R21" i="103"/>
  <c r="D9" i="10"/>
  <c r="A3" i="111"/>
  <c r="D22" i="103"/>
  <c r="V16" i="103"/>
  <c r="C16" i="42"/>
  <c r="C16" i="44"/>
  <c r="C22" i="28"/>
  <c r="C10" i="117"/>
  <c r="D29" i="5"/>
  <c r="E52" i="12"/>
  <c r="E62" i="107"/>
  <c r="C25" i="112"/>
  <c r="D64" i="111"/>
  <c r="C14" i="42"/>
  <c r="A3" i="28"/>
  <c r="A2" i="115"/>
  <c r="J7" i="41"/>
  <c r="P15" i="103"/>
  <c r="U12" i="103"/>
  <c r="F26" i="44"/>
  <c r="C22" i="111"/>
  <c r="C20" i="102"/>
  <c r="D62" i="111"/>
  <c r="C15" i="28"/>
  <c r="G8" i="102"/>
  <c r="C23" i="117"/>
  <c r="M10" i="43"/>
  <c r="C31" i="45"/>
  <c r="P22" i="103"/>
  <c r="C12" i="115"/>
  <c r="J42" i="12"/>
  <c r="C28" i="22"/>
  <c r="F23" i="43"/>
  <c r="C19" i="103"/>
  <c r="J26" i="28"/>
  <c r="R9" i="18"/>
  <c r="A48" i="5"/>
  <c r="P14" i="102"/>
  <c r="H25" i="112"/>
  <c r="F25" i="44"/>
  <c r="H9" i="103"/>
  <c r="C13" i="45"/>
  <c r="M24" i="43"/>
  <c r="V8" i="41"/>
  <c r="F7" i="44"/>
  <c r="D56" i="119"/>
  <c r="G17" i="44"/>
  <c r="G23" i="22"/>
  <c r="C23" i="115"/>
  <c r="C16" i="109"/>
  <c r="K1" i="22"/>
  <c r="A58" i="6"/>
  <c r="C21" i="115"/>
  <c r="C11" i="79"/>
  <c r="C26" i="110"/>
  <c r="C22" i="112"/>
  <c r="D48" i="105"/>
  <c r="D33" i="6"/>
  <c r="D29" i="107"/>
  <c r="C16" i="112"/>
  <c r="B1" i="79"/>
  <c r="C19" i="18"/>
  <c r="E40" i="12"/>
  <c r="C8" i="41"/>
  <c r="D41" i="22"/>
  <c r="C11" i="115"/>
  <c r="C18" i="111"/>
  <c r="A3" i="116"/>
  <c r="D58" i="117"/>
  <c r="U7" i="103"/>
  <c r="D15" i="44"/>
  <c r="R24" i="102"/>
  <c r="C59" i="110"/>
  <c r="J10" i="44"/>
  <c r="K12" i="18"/>
  <c r="D79" i="119"/>
  <c r="C12" i="103"/>
  <c r="K8" i="102"/>
  <c r="D8" i="105"/>
  <c r="E65" i="3"/>
  <c r="E61" i="3"/>
  <c r="E18" i="44"/>
  <c r="I39" i="119"/>
  <c r="D60" i="115"/>
  <c r="E57" i="119"/>
  <c r="O7" i="103"/>
  <c r="E24" i="103"/>
  <c r="T21" i="103"/>
  <c r="C22" i="114"/>
  <c r="G55" i="107"/>
  <c r="C25" i="111"/>
  <c r="D63" i="111"/>
  <c r="C17" i="45"/>
  <c r="C21" i="28"/>
  <c r="C21" i="116"/>
  <c r="E16" i="103"/>
  <c r="P26" i="102"/>
  <c r="G29" i="10"/>
  <c r="H11" i="41"/>
  <c r="C32" i="22"/>
  <c r="E51" i="12"/>
  <c r="A3" i="115"/>
  <c r="D75" i="107"/>
  <c r="K17" i="44"/>
  <c r="D48" i="107"/>
  <c r="D60" i="114"/>
  <c r="D32" i="105"/>
  <c r="J15" i="113"/>
  <c r="K26" i="42"/>
  <c r="C18" i="22"/>
  <c r="F50" i="107"/>
  <c r="J14" i="18"/>
  <c r="D24" i="103"/>
  <c r="D26" i="44"/>
  <c r="C24" i="103"/>
  <c r="C19" i="110"/>
  <c r="E63" i="12"/>
  <c r="C24" i="42"/>
  <c r="D48" i="6"/>
  <c r="C13" i="5"/>
  <c r="C26" i="44"/>
  <c r="G21" i="22"/>
  <c r="C18" i="109"/>
  <c r="C11" i="113"/>
  <c r="C7" i="43"/>
  <c r="I29" i="10"/>
  <c r="K20" i="44"/>
  <c r="J17" i="43"/>
  <c r="Q20" i="18"/>
  <c r="E52" i="119"/>
  <c r="C14" i="44"/>
  <c r="A2" i="28"/>
  <c r="D61" i="111"/>
  <c r="E20" i="107"/>
  <c r="D60" i="116"/>
  <c r="D47" i="6"/>
  <c r="C29" i="22"/>
  <c r="I25" i="102"/>
  <c r="C22" i="102"/>
  <c r="D60" i="111"/>
  <c r="D8" i="10"/>
  <c r="D63" i="113"/>
  <c r="I31" i="10"/>
  <c r="F7" i="102"/>
  <c r="H6" i="43"/>
  <c r="C14" i="18"/>
  <c r="C12" i="110"/>
  <c r="S24" i="103"/>
  <c r="E78" i="119"/>
  <c r="L22" i="43"/>
  <c r="F25" i="107"/>
  <c r="D27" i="106"/>
  <c r="C19" i="114"/>
  <c r="C10" i="115"/>
  <c r="D61" i="107"/>
  <c r="D62" i="116"/>
  <c r="C18" i="42"/>
  <c r="C22" i="113"/>
  <c r="B1" i="12"/>
  <c r="D39" i="107"/>
  <c r="C19" i="112"/>
  <c r="C19" i="117"/>
  <c r="C23" i="109"/>
  <c r="C15" i="110"/>
  <c r="T20" i="18"/>
  <c r="H53" i="119"/>
  <c r="C23" i="102"/>
  <c r="C19" i="113"/>
  <c r="D64" i="115"/>
  <c r="C14" i="28"/>
  <c r="D61" i="116"/>
  <c r="D35" i="105"/>
  <c r="Q17" i="103"/>
  <c r="C17" i="18"/>
  <c r="G15" i="103"/>
  <c r="I36" i="12"/>
  <c r="J26" i="43"/>
  <c r="D7" i="102"/>
  <c r="E43" i="12"/>
  <c r="D64" i="112"/>
  <c r="D64" i="113"/>
  <c r="C18" i="117"/>
  <c r="C12" i="45"/>
  <c r="G18" i="102"/>
  <c r="A2" i="109"/>
  <c r="Q19" i="103"/>
  <c r="C13" i="103"/>
  <c r="L8" i="106"/>
  <c r="D34" i="6"/>
  <c r="C25" i="115"/>
  <c r="E21" i="107"/>
  <c r="T9" i="102"/>
  <c r="I68" i="119"/>
  <c r="D61" i="110"/>
  <c r="C10" i="28"/>
  <c r="G35" i="22"/>
  <c r="C23" i="22"/>
  <c r="C28" i="109"/>
  <c r="D34" i="105"/>
  <c r="D37" i="105"/>
  <c r="D63" i="115"/>
  <c r="C29" i="45"/>
  <c r="D64" i="107"/>
  <c r="J13" i="102"/>
  <c r="D28" i="106"/>
  <c r="E65" i="119"/>
  <c r="C11" i="28"/>
  <c r="C21" i="102"/>
  <c r="C16" i="110"/>
  <c r="E42" i="12"/>
  <c r="E39" i="10"/>
  <c r="K37" i="12"/>
  <c r="D21" i="42"/>
  <c r="C26" i="117"/>
  <c r="C9" i="42"/>
  <c r="C34" i="45"/>
  <c r="J24" i="103"/>
  <c r="T23" i="102"/>
  <c r="I15" i="28"/>
  <c r="F15" i="44"/>
  <c r="C17" i="111"/>
  <c r="C9" i="44"/>
  <c r="C15" i="22"/>
  <c r="C22" i="45"/>
  <c r="C25" i="28"/>
  <c r="A2" i="114"/>
  <c r="C21" i="18"/>
  <c r="C28" i="117"/>
  <c r="F24" i="107"/>
  <c r="A61" i="105"/>
  <c r="I6" i="44"/>
  <c r="C25" i="109"/>
  <c r="E63" i="114"/>
  <c r="H52" i="119"/>
  <c r="D24" i="42"/>
  <c r="D7" i="6"/>
  <c r="D30" i="5"/>
  <c r="A2" i="117"/>
  <c r="C26" i="109"/>
  <c r="C33" i="45"/>
  <c r="E55" i="107"/>
  <c r="C10" i="114"/>
  <c r="A2" i="113"/>
  <c r="C10" i="45"/>
  <c r="D60" i="112"/>
  <c r="D17" i="79"/>
  <c r="G24" i="22"/>
  <c r="C10" i="103"/>
  <c r="O11" i="41"/>
  <c r="P26" i="103"/>
  <c r="E62" i="12"/>
  <c r="C15" i="113"/>
  <c r="G17" i="43"/>
  <c r="I14" i="42"/>
  <c r="C19" i="22"/>
  <c r="C16" i="18"/>
  <c r="H23" i="113"/>
  <c r="T16" i="102"/>
  <c r="C26" i="112"/>
  <c r="C10" i="116"/>
  <c r="E18" i="107"/>
  <c r="V14" i="102"/>
  <c r="C12" i="79"/>
  <c r="D16" i="43"/>
  <c r="F30" i="107"/>
  <c r="V6" i="41"/>
  <c r="M48" i="6"/>
  <c r="F41" i="119"/>
  <c r="C23" i="44"/>
  <c r="D42" i="110"/>
  <c r="G20" i="22"/>
  <c r="I22" i="116"/>
  <c r="J11" i="103"/>
  <c r="F57" i="119"/>
  <c r="D9" i="79"/>
  <c r="O8" i="41"/>
  <c r="G13" i="103"/>
  <c r="F47" i="107"/>
  <c r="G8" i="22"/>
  <c r="L20" i="42"/>
  <c r="E60" i="12"/>
  <c r="E44" i="12"/>
  <c r="H70" i="119"/>
  <c r="I22" i="42"/>
  <c r="H15" i="18"/>
  <c r="J18" i="103"/>
  <c r="K10" i="6"/>
  <c r="F25" i="102"/>
  <c r="J13" i="18"/>
  <c r="G36" i="107"/>
  <c r="I17" i="113"/>
  <c r="H23" i="109"/>
  <c r="F74" i="107"/>
  <c r="K6" i="43"/>
  <c r="G11" i="79"/>
  <c r="O15" i="18"/>
  <c r="I10" i="28"/>
  <c r="I16" i="114"/>
  <c r="H35" i="119"/>
  <c r="F25" i="18"/>
  <c r="J26" i="18"/>
  <c r="E12" i="43"/>
  <c r="E16" i="22"/>
  <c r="H17" i="103"/>
  <c r="G50" i="119"/>
  <c r="G28" i="22"/>
  <c r="C23" i="103"/>
  <c r="L47" i="6"/>
  <c r="T24" i="103"/>
  <c r="G22" i="102"/>
  <c r="H14" i="43"/>
  <c r="E15" i="103"/>
  <c r="U24" i="102"/>
  <c r="G42" i="119"/>
  <c r="F9" i="44"/>
  <c r="D63" i="116"/>
  <c r="Q8" i="102"/>
  <c r="R11" i="18"/>
  <c r="F38" i="119"/>
  <c r="D9" i="102"/>
  <c r="I10" i="109"/>
  <c r="H28" i="111"/>
  <c r="C32" i="102"/>
  <c r="I37" i="119"/>
  <c r="G10" i="22"/>
  <c r="H16" i="42"/>
  <c r="F51" i="119"/>
  <c r="P25" i="102"/>
  <c r="G7" i="102"/>
  <c r="G21" i="44"/>
  <c r="C31" i="5"/>
  <c r="L12" i="44"/>
  <c r="E68" i="107"/>
  <c r="H25" i="28"/>
  <c r="D83" i="119"/>
  <c r="I19" i="28"/>
  <c r="C55" i="113"/>
  <c r="J19" i="113"/>
  <c r="T8" i="103"/>
  <c r="E36" i="107"/>
  <c r="Q18" i="102"/>
  <c r="G13" i="102"/>
  <c r="J16" i="43"/>
  <c r="H22" i="18"/>
  <c r="C22" i="117"/>
  <c r="K63" i="12"/>
  <c r="I40" i="119"/>
  <c r="I24" i="42"/>
  <c r="E26" i="22"/>
  <c r="U25" i="103"/>
  <c r="T8" i="18"/>
  <c r="I56" i="12"/>
  <c r="T19" i="103"/>
  <c r="C20" i="44"/>
  <c r="H19" i="42"/>
  <c r="F29" i="5"/>
  <c r="H12" i="42"/>
  <c r="G31" i="10"/>
  <c r="E39" i="12"/>
  <c r="J9" i="42"/>
  <c r="D22" i="43"/>
  <c r="G24" i="103"/>
  <c r="C35" i="22"/>
  <c r="H16" i="103"/>
  <c r="D18" i="102"/>
  <c r="G33" i="22"/>
  <c r="M11" i="43"/>
  <c r="X11" i="119"/>
  <c r="I71" i="119"/>
  <c r="A55" i="10"/>
  <c r="C24" i="45"/>
  <c r="P26" i="18"/>
  <c r="I40" i="12"/>
  <c r="F31" i="10"/>
  <c r="E22" i="107"/>
  <c r="T9" i="41"/>
  <c r="E20" i="103"/>
  <c r="G7" i="103"/>
  <c r="L13" i="22"/>
  <c r="H49" i="119"/>
  <c r="H21" i="117"/>
  <c r="F37" i="119"/>
  <c r="Q6" i="103"/>
  <c r="F18" i="44"/>
  <c r="J17" i="103"/>
  <c r="I8" i="102"/>
  <c r="E9" i="41"/>
  <c r="G17" i="102"/>
  <c r="H68" i="119"/>
  <c r="H14" i="110"/>
  <c r="E54" i="107"/>
  <c r="C15" i="102"/>
  <c r="P8" i="102"/>
  <c r="R14" i="102"/>
  <c r="K26" i="22"/>
  <c r="U9" i="41"/>
  <c r="G15" i="42"/>
  <c r="E50" i="119"/>
  <c r="K13" i="44"/>
  <c r="E7" i="22"/>
  <c r="D57" i="119"/>
  <c r="G18" i="18"/>
  <c r="I28" i="116"/>
  <c r="S10" i="41"/>
  <c r="E14" i="42"/>
  <c r="U11" i="41"/>
  <c r="L19" i="43"/>
  <c r="E22" i="103"/>
  <c r="I13" i="22"/>
  <c r="D90" i="119"/>
  <c r="I20" i="114"/>
  <c r="V10" i="18"/>
  <c r="E8" i="10"/>
  <c r="D19" i="18"/>
  <c r="D67" i="119"/>
  <c r="J51" i="105"/>
  <c r="F52" i="119"/>
  <c r="Q23" i="102"/>
  <c r="E31" i="22"/>
  <c r="G22" i="43"/>
  <c r="J13" i="114"/>
  <c r="P15" i="102"/>
  <c r="T19" i="18"/>
  <c r="C20" i="22"/>
  <c r="J14" i="103"/>
  <c r="E52" i="107"/>
  <c r="C25" i="102"/>
  <c r="P21" i="18"/>
  <c r="I23" i="18"/>
  <c r="D7" i="42"/>
  <c r="K11" i="102"/>
  <c r="D7" i="79"/>
  <c r="K23" i="102"/>
  <c r="F14" i="103"/>
  <c r="I26" i="110"/>
  <c r="D21" i="18"/>
  <c r="K26" i="43"/>
  <c r="J18" i="42"/>
  <c r="G19" i="18"/>
  <c r="L10" i="6"/>
  <c r="E17" i="22"/>
  <c r="E57" i="28"/>
  <c r="I37" i="10"/>
  <c r="I22" i="117"/>
  <c r="I15" i="114"/>
  <c r="E16" i="44"/>
  <c r="S19" i="18"/>
  <c r="J25" i="115"/>
  <c r="C27" i="45"/>
  <c r="P8" i="41"/>
  <c r="J7" i="6"/>
  <c r="H11" i="102"/>
  <c r="K7" i="102"/>
  <c r="D14" i="103"/>
  <c r="C12" i="102"/>
  <c r="I17" i="42"/>
  <c r="E17" i="43"/>
  <c r="D11" i="107"/>
  <c r="G10" i="5"/>
  <c r="L17" i="44"/>
  <c r="K39" i="12"/>
  <c r="V13" i="103"/>
  <c r="T10" i="18"/>
  <c r="O10" i="102"/>
  <c r="D51" i="119"/>
  <c r="M22" i="44"/>
  <c r="O21" i="18"/>
  <c r="F38" i="107"/>
  <c r="H25" i="43"/>
  <c r="H39" i="119"/>
  <c r="P16" i="102"/>
  <c r="D74" i="107"/>
  <c r="P19" i="18"/>
  <c r="T23" i="103"/>
  <c r="E38" i="10"/>
  <c r="G35" i="119"/>
  <c r="O24" i="103"/>
  <c r="M15" i="43"/>
  <c r="E10" i="41"/>
  <c r="I11" i="18"/>
  <c r="K12" i="43"/>
  <c r="I7" i="103"/>
  <c r="H17" i="110"/>
  <c r="M12" i="43"/>
  <c r="O13" i="18"/>
  <c r="F28" i="107"/>
  <c r="E12" i="18"/>
  <c r="T24" i="102"/>
  <c r="D8" i="44"/>
  <c r="G18" i="79"/>
  <c r="J15" i="42"/>
  <c r="J53" i="12"/>
  <c r="J22" i="117"/>
  <c r="K11" i="106"/>
  <c r="U14" i="18"/>
  <c r="I7" i="44"/>
  <c r="D16" i="102"/>
  <c r="F49" i="119"/>
  <c r="C26" i="102"/>
  <c r="C32" i="18"/>
  <c r="I49" i="10"/>
  <c r="H12" i="114"/>
  <c r="C17" i="42"/>
  <c r="I18" i="113"/>
  <c r="H23" i="18"/>
  <c r="H23" i="28"/>
  <c r="I21" i="18"/>
  <c r="K58" i="12"/>
  <c r="G6" i="18"/>
  <c r="K15" i="42"/>
  <c r="D12" i="44"/>
  <c r="E21" i="102"/>
  <c r="I41" i="119"/>
  <c r="E25" i="102"/>
  <c r="K13" i="42"/>
  <c r="F8" i="10"/>
  <c r="D40" i="106"/>
  <c r="D10" i="44"/>
  <c r="K26" i="102"/>
  <c r="L18" i="43"/>
  <c r="F20" i="107"/>
  <c r="S10" i="102"/>
  <c r="F39" i="107"/>
  <c r="H21" i="111"/>
  <c r="F6" i="103"/>
  <c r="S25" i="18"/>
  <c r="D12" i="18"/>
  <c r="D2" i="6"/>
  <c r="H25" i="103"/>
  <c r="H14" i="44"/>
  <c r="E35" i="107"/>
  <c r="G51" i="107"/>
  <c r="F63" i="107"/>
  <c r="I22" i="44"/>
  <c r="E61" i="112"/>
  <c r="J14" i="43"/>
  <c r="J21" i="116"/>
  <c r="I42" i="12"/>
  <c r="J17" i="113"/>
  <c r="H14" i="116"/>
  <c r="D18" i="42"/>
  <c r="G9" i="5"/>
  <c r="T18" i="102"/>
  <c r="P7" i="18"/>
  <c r="I10" i="117"/>
  <c r="I57" i="119"/>
  <c r="E25" i="43"/>
  <c r="S17" i="102"/>
  <c r="J8" i="105"/>
  <c r="F50" i="119"/>
  <c r="L7" i="44"/>
  <c r="A3" i="109"/>
  <c r="R9" i="41"/>
  <c r="F42" i="106"/>
  <c r="G38" i="119"/>
  <c r="H11" i="28"/>
  <c r="Q6" i="102"/>
  <c r="H19" i="114"/>
  <c r="G58" i="107"/>
  <c r="H30" i="10"/>
  <c r="C18" i="45"/>
  <c r="M6" i="42"/>
  <c r="R19" i="103"/>
  <c r="C59" i="3"/>
  <c r="I21" i="103"/>
  <c r="K9" i="43"/>
  <c r="D80" i="119"/>
  <c r="V20" i="102"/>
  <c r="O14" i="103"/>
  <c r="M16" i="44"/>
  <c r="D9" i="43"/>
  <c r="Q16" i="18"/>
  <c r="M19" i="42"/>
  <c r="I8" i="6"/>
  <c r="J11" i="41"/>
  <c r="G11" i="102"/>
  <c r="L23" i="44"/>
  <c r="E9" i="102"/>
  <c r="G48" i="107"/>
  <c r="C19" i="45"/>
  <c r="V11" i="18"/>
  <c r="E18" i="43"/>
  <c r="I26" i="114"/>
  <c r="E61" i="113"/>
  <c r="H10" i="42"/>
  <c r="G24" i="43"/>
  <c r="I26" i="117"/>
  <c r="F10" i="41"/>
  <c r="I43" i="12"/>
  <c r="R8" i="103"/>
  <c r="F19" i="44"/>
  <c r="G9" i="102"/>
  <c r="H7" i="43"/>
  <c r="E24" i="43"/>
  <c r="X5" i="119"/>
  <c r="K11" i="103"/>
  <c r="D23" i="43"/>
  <c r="C11" i="41"/>
  <c r="K6" i="41"/>
  <c r="D13" i="44"/>
  <c r="I14" i="110"/>
  <c r="L15" i="44"/>
  <c r="K8" i="41"/>
  <c r="U10" i="102"/>
  <c r="C21" i="103"/>
  <c r="M9" i="6"/>
  <c r="V19" i="18"/>
  <c r="L26" i="43"/>
  <c r="F14" i="42"/>
  <c r="E8" i="22"/>
  <c r="D49" i="105"/>
  <c r="E37" i="116"/>
  <c r="V7" i="41"/>
  <c r="G71" i="107"/>
  <c r="L8" i="22"/>
  <c r="C9" i="41"/>
  <c r="A32" i="102"/>
  <c r="E38" i="119"/>
  <c r="J15" i="103"/>
  <c r="J26" i="114"/>
  <c r="J19" i="28"/>
  <c r="K59" i="12"/>
  <c r="T10" i="102"/>
  <c r="J25" i="112"/>
  <c r="L15" i="42"/>
  <c r="C26" i="22"/>
  <c r="I21" i="115"/>
  <c r="C11" i="43"/>
  <c r="Q20" i="103"/>
  <c r="J26" i="109"/>
  <c r="C14" i="116"/>
  <c r="T6" i="18"/>
  <c r="J20" i="44"/>
  <c r="R9" i="102"/>
  <c r="H6" i="18"/>
  <c r="E17" i="44"/>
  <c r="J18" i="43"/>
  <c r="K10" i="103"/>
  <c r="J8" i="44"/>
  <c r="E31" i="107"/>
  <c r="I10" i="110"/>
  <c r="J21" i="102"/>
  <c r="Q13" i="18"/>
  <c r="C75" i="119"/>
  <c r="D62" i="107"/>
  <c r="G9" i="103"/>
  <c r="J22" i="114"/>
  <c r="K18" i="103"/>
  <c r="U15" i="18"/>
  <c r="E64" i="116"/>
  <c r="I55" i="119"/>
  <c r="Q12" i="103"/>
  <c r="G16" i="103"/>
  <c r="D18" i="43"/>
  <c r="O20" i="18"/>
  <c r="F20" i="103"/>
  <c r="E22" i="18"/>
  <c r="D9" i="42"/>
  <c r="E18" i="18"/>
  <c r="J57" i="12"/>
  <c r="E26" i="102"/>
  <c r="G10" i="43"/>
  <c r="A28" i="79"/>
  <c r="C10" i="18"/>
  <c r="H18" i="112"/>
  <c r="I9" i="103"/>
  <c r="D10" i="41"/>
  <c r="F72" i="119"/>
  <c r="A42" i="80"/>
  <c r="C7" i="42"/>
  <c r="T11" i="41"/>
  <c r="O12" i="103"/>
  <c r="J20" i="116"/>
  <c r="K23" i="43"/>
  <c r="V11" i="102"/>
  <c r="G54" i="119"/>
  <c r="S25" i="103"/>
  <c r="D61" i="28"/>
  <c r="I26" i="18"/>
  <c r="G25" i="44"/>
  <c r="O10" i="103"/>
  <c r="G73" i="107"/>
  <c r="D26" i="18"/>
  <c r="S9" i="18"/>
  <c r="F21" i="42"/>
  <c r="V9" i="41"/>
  <c r="E64" i="111"/>
  <c r="I25" i="111"/>
  <c r="E36" i="119"/>
  <c r="L48" i="6"/>
  <c r="I11" i="28"/>
  <c r="G9" i="41"/>
  <c r="D10" i="18"/>
  <c r="E14" i="43"/>
  <c r="I24" i="114"/>
  <c r="H34" i="119"/>
  <c r="H21" i="102"/>
  <c r="V11" i="41"/>
  <c r="G49" i="119"/>
  <c r="F41" i="107"/>
  <c r="F26" i="103"/>
  <c r="V20" i="18"/>
  <c r="E25" i="107"/>
  <c r="O8" i="103"/>
  <c r="F28" i="5"/>
  <c r="G35" i="107"/>
  <c r="E16" i="102"/>
  <c r="I10" i="41"/>
  <c r="J14" i="44"/>
  <c r="J13" i="111"/>
  <c r="H19" i="115"/>
  <c r="I6" i="42"/>
  <c r="I24" i="111"/>
  <c r="G19" i="43"/>
  <c r="J10" i="28"/>
  <c r="E7" i="42"/>
  <c r="K23" i="44"/>
  <c r="E24" i="107"/>
  <c r="J20" i="115"/>
  <c r="S25" i="102"/>
  <c r="S8" i="18"/>
  <c r="E42" i="109"/>
  <c r="K21" i="22"/>
  <c r="J8" i="102"/>
  <c r="D20" i="102"/>
  <c r="E69" i="119"/>
  <c r="V9" i="103"/>
  <c r="G11" i="22"/>
  <c r="J16" i="114"/>
  <c r="F12" i="79"/>
  <c r="H15" i="113"/>
  <c r="D38" i="113"/>
  <c r="E63" i="111"/>
  <c r="G57" i="119"/>
  <c r="F9" i="103"/>
  <c r="B3" i="10"/>
  <c r="L21" i="22"/>
  <c r="D25" i="102"/>
  <c r="J16" i="117"/>
  <c r="V9" i="119"/>
  <c r="V6" i="18"/>
  <c r="C14" i="114"/>
  <c r="E35" i="22"/>
  <c r="D24" i="43"/>
  <c r="U6" i="102"/>
  <c r="F19" i="42"/>
  <c r="M8" i="44"/>
  <c r="E20" i="18"/>
  <c r="F11" i="43"/>
  <c r="S12" i="103"/>
  <c r="D15" i="42"/>
  <c r="E13" i="102"/>
  <c r="E38" i="112"/>
  <c r="G64" i="119"/>
  <c r="H23" i="103"/>
  <c r="G10" i="42"/>
  <c r="U25" i="102"/>
  <c r="E38" i="109"/>
  <c r="E8" i="103"/>
  <c r="E60" i="111"/>
  <c r="I22" i="109"/>
  <c r="M18" i="43"/>
  <c r="I17" i="110"/>
  <c r="J23" i="113"/>
  <c r="G25" i="102"/>
  <c r="L25" i="22"/>
  <c r="I22" i="113"/>
  <c r="R23" i="18"/>
  <c r="J24" i="117"/>
  <c r="V12" i="103"/>
  <c r="L13" i="44"/>
  <c r="O23" i="102"/>
  <c r="P13" i="102"/>
  <c r="O18" i="102"/>
  <c r="D23" i="42"/>
  <c r="P17" i="103"/>
  <c r="P6" i="103"/>
  <c r="I22" i="115"/>
  <c r="V10" i="103"/>
  <c r="A17" i="41"/>
  <c r="H8" i="44"/>
  <c r="K22" i="102"/>
  <c r="H17" i="18"/>
  <c r="E25" i="42"/>
  <c r="C26" i="43"/>
  <c r="E23" i="102"/>
  <c r="K14" i="43"/>
  <c r="C10" i="113"/>
  <c r="H10" i="44"/>
  <c r="R10" i="41"/>
  <c r="U8" i="18"/>
  <c r="K7" i="106"/>
  <c r="G16" i="44"/>
  <c r="Q24" i="18"/>
  <c r="L15" i="22"/>
  <c r="G22" i="103"/>
  <c r="D34" i="119"/>
  <c r="I61" i="12"/>
  <c r="F22" i="102"/>
  <c r="J20" i="18"/>
  <c r="G22" i="107"/>
  <c r="J6" i="18"/>
  <c r="G40" i="119"/>
  <c r="F8" i="18"/>
  <c r="I18" i="43"/>
  <c r="E18" i="42"/>
  <c r="E60" i="112"/>
  <c r="J49" i="12"/>
  <c r="J24" i="44"/>
  <c r="D16" i="42"/>
  <c r="E62" i="3"/>
  <c r="K17" i="102"/>
  <c r="C15" i="43"/>
  <c r="G22" i="18"/>
  <c r="R12" i="18"/>
  <c r="I30" i="22"/>
  <c r="C7" i="103"/>
  <c r="T7" i="18"/>
  <c r="D24" i="44"/>
  <c r="V17" i="18"/>
  <c r="K19" i="102"/>
  <c r="Q8" i="41"/>
  <c r="G10" i="41"/>
  <c r="D60" i="28"/>
  <c r="E55" i="119"/>
  <c r="T17" i="18"/>
  <c r="C2" i="5"/>
  <c r="C10" i="41"/>
  <c r="C28" i="43"/>
  <c r="J8" i="41"/>
  <c r="H10" i="28"/>
  <c r="D31" i="10"/>
  <c r="I21" i="44"/>
  <c r="I9" i="22"/>
  <c r="H25" i="115"/>
  <c r="L24" i="42"/>
  <c r="E19" i="18"/>
  <c r="C11" i="22"/>
  <c r="T13" i="102"/>
  <c r="F13" i="43"/>
  <c r="R22" i="103"/>
  <c r="D71" i="119"/>
  <c r="H25" i="44"/>
  <c r="H8" i="106"/>
  <c r="S7" i="18"/>
  <c r="S28" i="18"/>
  <c r="K55" i="12"/>
  <c r="D42" i="107"/>
  <c r="G6" i="41"/>
  <c r="G10" i="79"/>
  <c r="V11" i="119"/>
  <c r="L33" i="22"/>
  <c r="M9" i="105"/>
  <c r="H13" i="44"/>
  <c r="J23" i="117"/>
  <c r="F22" i="103"/>
  <c r="F71" i="119"/>
  <c r="F69" i="107"/>
  <c r="I64" i="119"/>
  <c r="J18" i="110"/>
  <c r="I21" i="28"/>
  <c r="J21" i="43"/>
  <c r="K23" i="103"/>
  <c r="K52" i="12"/>
  <c r="I26" i="22"/>
  <c r="Q10" i="18"/>
  <c r="D8" i="79"/>
  <c r="V15" i="103"/>
  <c r="K17" i="22"/>
  <c r="H24" i="42"/>
  <c r="R1" i="41"/>
  <c r="I19" i="114"/>
  <c r="K21" i="103"/>
  <c r="J9" i="102"/>
  <c r="J24" i="114"/>
  <c r="D6" i="102"/>
  <c r="D19" i="43"/>
  <c r="H24" i="18"/>
  <c r="J17" i="42"/>
  <c r="I28" i="113"/>
  <c r="H20" i="42"/>
  <c r="I8" i="42"/>
  <c r="K52" i="6"/>
  <c r="M26" i="44"/>
  <c r="I9" i="102"/>
  <c r="J63" i="12"/>
  <c r="G52" i="119"/>
  <c r="R6" i="18"/>
  <c r="E8" i="42"/>
  <c r="F65" i="119"/>
  <c r="D10" i="43"/>
  <c r="H40" i="119"/>
  <c r="H14" i="102"/>
  <c r="C25" i="103"/>
  <c r="D54" i="119"/>
  <c r="I11" i="110"/>
  <c r="I18" i="117"/>
  <c r="I15" i="18"/>
  <c r="D81" i="119"/>
  <c r="G39" i="10"/>
  <c r="P21" i="102"/>
  <c r="O18" i="18"/>
  <c r="H7" i="106"/>
  <c r="J26" i="44"/>
  <c r="H23" i="115"/>
  <c r="H47" i="105"/>
  <c r="F6" i="18"/>
  <c r="E42" i="119"/>
  <c r="H10" i="43"/>
  <c r="E29" i="22"/>
  <c r="G26" i="102"/>
  <c r="J25" i="103"/>
  <c r="P22" i="102"/>
  <c r="F6" i="41"/>
  <c r="K12" i="103"/>
  <c r="M16" i="43"/>
  <c r="H21" i="115"/>
  <c r="E23" i="103"/>
  <c r="E49" i="107"/>
  <c r="K7" i="42"/>
  <c r="I20" i="102"/>
  <c r="C5" i="109"/>
  <c r="E19" i="103"/>
  <c r="D11" i="42"/>
  <c r="E34" i="22"/>
  <c r="E70" i="107"/>
  <c r="D15" i="43"/>
  <c r="C15" i="103"/>
  <c r="G26" i="103"/>
  <c r="T16" i="103"/>
  <c r="D25" i="43"/>
  <c r="I17" i="44"/>
  <c r="I18" i="111"/>
  <c r="I11" i="115"/>
  <c r="K55" i="105"/>
  <c r="D86" i="119"/>
  <c r="S12" i="102"/>
  <c r="P11" i="41"/>
  <c r="K21" i="102"/>
  <c r="I11" i="22"/>
  <c r="E61" i="117"/>
  <c r="E8" i="44"/>
  <c r="E23" i="107"/>
  <c r="O13" i="103"/>
  <c r="C14" i="43"/>
  <c r="U19" i="103"/>
  <c r="F19" i="102"/>
  <c r="I17" i="116"/>
  <c r="F68" i="119"/>
  <c r="H10" i="115"/>
  <c r="C28" i="103"/>
  <c r="U13" i="102"/>
  <c r="D29" i="10"/>
  <c r="S13" i="18"/>
  <c r="K46" i="12"/>
  <c r="H16" i="28"/>
  <c r="A3" i="114"/>
  <c r="K19" i="43"/>
  <c r="F26" i="43"/>
  <c r="K61" i="12"/>
  <c r="D23" i="103"/>
  <c r="F22" i="43"/>
  <c r="I26" i="42"/>
  <c r="I72" i="119"/>
  <c r="D58" i="28"/>
  <c r="D38" i="119"/>
  <c r="K60" i="12"/>
  <c r="G23" i="43"/>
  <c r="G8" i="41"/>
  <c r="E7" i="41"/>
  <c r="M9" i="43"/>
  <c r="F34" i="119"/>
  <c r="E11" i="22"/>
  <c r="H16" i="18"/>
  <c r="I17" i="115"/>
  <c r="Q25" i="18"/>
  <c r="E10" i="43"/>
  <c r="J60" i="12"/>
  <c r="T21" i="102"/>
  <c r="S16" i="18"/>
  <c r="E32" i="6"/>
  <c r="M10" i="42"/>
  <c r="C7" i="102"/>
  <c r="I8" i="22"/>
  <c r="D7" i="41"/>
  <c r="D9" i="41"/>
  <c r="E37" i="119"/>
  <c r="D11" i="10"/>
  <c r="D6" i="41"/>
  <c r="R22" i="102"/>
  <c r="G21" i="107"/>
  <c r="O20" i="103"/>
  <c r="C16" i="28"/>
  <c r="F23" i="44"/>
  <c r="V17" i="103"/>
  <c r="F12" i="42"/>
  <c r="T6" i="41"/>
  <c r="J19" i="43"/>
  <c r="H6" i="41"/>
  <c r="M10" i="44"/>
  <c r="O9" i="102"/>
  <c r="K12" i="44"/>
  <c r="D6" i="103"/>
  <c r="C2" i="103"/>
  <c r="K53" i="6"/>
  <c r="J9" i="44"/>
  <c r="I25" i="28"/>
  <c r="H31" i="10"/>
  <c r="C17" i="117"/>
  <c r="E13" i="42"/>
  <c r="G20" i="18"/>
  <c r="H23" i="112"/>
  <c r="J22" i="28"/>
  <c r="V12" i="102"/>
  <c r="E62" i="115"/>
  <c r="L20" i="43"/>
  <c r="K11" i="22"/>
  <c r="C28" i="42"/>
  <c r="E15" i="22"/>
  <c r="V14" i="103"/>
  <c r="E85" i="119"/>
  <c r="D61" i="115"/>
  <c r="E15" i="102"/>
  <c r="K26" i="18"/>
  <c r="L9" i="106"/>
  <c r="U8" i="41"/>
  <c r="R6" i="41"/>
  <c r="T26" i="102"/>
  <c r="R26" i="102"/>
  <c r="T25" i="18"/>
  <c r="J16" i="102"/>
  <c r="J49" i="6"/>
  <c r="F40" i="119"/>
  <c r="C2" i="18"/>
  <c r="G12" i="79"/>
  <c r="F41" i="10"/>
  <c r="O19" i="102"/>
  <c r="J14" i="115"/>
  <c r="E68" i="119"/>
  <c r="P12" i="18"/>
  <c r="D55" i="119"/>
  <c r="K42" i="12"/>
  <c r="L50" i="6"/>
  <c r="E61" i="114"/>
  <c r="G25" i="42"/>
  <c r="F13" i="42"/>
  <c r="E56" i="12"/>
  <c r="S18" i="103"/>
  <c r="P24" i="103"/>
  <c r="F11" i="42"/>
  <c r="K17" i="18"/>
  <c r="D23" i="44"/>
  <c r="K14" i="18"/>
  <c r="K10" i="41"/>
  <c r="D49" i="6"/>
  <c r="G8" i="103"/>
  <c r="F13" i="18"/>
  <c r="E61" i="28"/>
  <c r="X13" i="119"/>
  <c r="F56" i="119"/>
  <c r="E23" i="22"/>
  <c r="G12" i="5"/>
  <c r="G68" i="119"/>
  <c r="E64" i="119"/>
  <c r="A2" i="110"/>
  <c r="G26" i="18"/>
  <c r="E7" i="43"/>
  <c r="G56" i="119"/>
  <c r="U9" i="18"/>
  <c r="D9" i="105"/>
  <c r="G17" i="22"/>
  <c r="J28" i="110"/>
  <c r="V21" i="18"/>
  <c r="P17" i="18"/>
  <c r="D16" i="18"/>
  <c r="T16" i="18"/>
  <c r="M23" i="42"/>
  <c r="F35" i="107"/>
  <c r="E42" i="114"/>
  <c r="F19" i="18"/>
  <c r="D39" i="119"/>
  <c r="E12" i="5"/>
  <c r="K25" i="44"/>
  <c r="K12" i="22"/>
  <c r="F67" i="119"/>
  <c r="E62" i="112"/>
  <c r="F59" i="107"/>
  <c r="F11" i="79"/>
  <c r="H22" i="110"/>
  <c r="I23" i="114"/>
  <c r="I23" i="22"/>
  <c r="I25" i="22"/>
  <c r="J12" i="42"/>
  <c r="J21" i="42"/>
  <c r="C18" i="112"/>
  <c r="D13" i="102"/>
  <c r="J22" i="102"/>
  <c r="I10" i="102"/>
  <c r="G31" i="107"/>
  <c r="J18" i="111"/>
  <c r="V5" i="119"/>
  <c r="H55" i="119"/>
  <c r="G76" i="107"/>
  <c r="H22" i="44"/>
  <c r="E11" i="5"/>
  <c r="H20" i="44"/>
  <c r="I21" i="109"/>
  <c r="F17" i="42"/>
  <c r="H36" i="119"/>
  <c r="C42" i="112"/>
  <c r="I12" i="115"/>
  <c r="E24" i="44"/>
  <c r="H18" i="113"/>
  <c r="E7" i="18"/>
  <c r="G14" i="18"/>
  <c r="G19" i="42"/>
  <c r="H26" i="116"/>
  <c r="F42" i="119"/>
  <c r="T9" i="18"/>
  <c r="G23" i="18"/>
  <c r="P7" i="103"/>
  <c r="E21" i="43"/>
  <c r="E6" i="18"/>
  <c r="I59" i="12"/>
  <c r="C26" i="28"/>
  <c r="H14" i="103"/>
  <c r="G13" i="42"/>
  <c r="G11" i="18"/>
  <c r="G37" i="10"/>
  <c r="E10" i="79"/>
  <c r="H41" i="106"/>
  <c r="J13" i="110"/>
  <c r="I18" i="42"/>
  <c r="J6" i="42"/>
  <c r="D11" i="44"/>
  <c r="R6" i="103"/>
  <c r="D21" i="44"/>
  <c r="L11" i="42"/>
  <c r="K9" i="105"/>
  <c r="R11" i="103"/>
  <c r="E62" i="109"/>
  <c r="J19" i="109"/>
  <c r="J19" i="103"/>
  <c r="C45" i="13"/>
  <c r="H18" i="44"/>
  <c r="K9" i="41"/>
  <c r="J62" i="12"/>
  <c r="S13" i="103"/>
  <c r="I26" i="109"/>
  <c r="F20" i="44"/>
  <c r="J12" i="115"/>
  <c r="G24" i="107"/>
  <c r="D78" i="119"/>
  <c r="L25" i="43"/>
  <c r="I25" i="18"/>
  <c r="J19" i="116"/>
  <c r="I15" i="111"/>
  <c r="H22" i="115"/>
  <c r="K11" i="41"/>
  <c r="J10" i="115"/>
  <c r="K28" i="22"/>
  <c r="H64" i="119"/>
  <c r="D23" i="18"/>
  <c r="K19" i="42"/>
  <c r="G10" i="103"/>
  <c r="H11" i="44"/>
  <c r="U7" i="18"/>
  <c r="U16" i="103"/>
  <c r="K38" i="12"/>
  <c r="I18" i="116"/>
  <c r="I14" i="114"/>
  <c r="I13" i="42"/>
  <c r="L18" i="42"/>
  <c r="O24" i="102"/>
  <c r="D14" i="18"/>
  <c r="D31" i="5"/>
  <c r="D22" i="102"/>
  <c r="H14" i="112"/>
  <c r="K1" i="41"/>
  <c r="J28" i="114"/>
  <c r="D12" i="103"/>
  <c r="J10" i="103"/>
  <c r="G21" i="102"/>
  <c r="E42" i="115"/>
  <c r="L19" i="22"/>
  <c r="L11" i="44"/>
  <c r="H22" i="112"/>
  <c r="O23" i="103"/>
  <c r="L9" i="22"/>
  <c r="E54" i="119"/>
  <c r="F76" i="107"/>
  <c r="S19" i="103"/>
  <c r="I10" i="114"/>
  <c r="J28" i="117"/>
  <c r="O6" i="18"/>
  <c r="E63" i="110"/>
  <c r="K7" i="22"/>
  <c r="V6" i="103"/>
  <c r="J24" i="115"/>
  <c r="E26" i="18"/>
  <c r="E51" i="107"/>
  <c r="H9" i="18"/>
  <c r="E38" i="113"/>
  <c r="H11" i="116"/>
  <c r="I24" i="43"/>
  <c r="L48" i="105"/>
  <c r="F10" i="102"/>
  <c r="R12" i="102"/>
  <c r="D22" i="42"/>
  <c r="R11" i="41"/>
  <c r="J18" i="112"/>
  <c r="I12" i="112"/>
  <c r="H18" i="110"/>
  <c r="I11" i="102"/>
  <c r="H11" i="110"/>
  <c r="H26" i="110"/>
  <c r="H23" i="114"/>
  <c r="H12" i="113"/>
  <c r="D11" i="43"/>
  <c r="E63" i="115"/>
  <c r="H17" i="114"/>
  <c r="G62" i="107"/>
  <c r="M17" i="44"/>
  <c r="I17" i="109"/>
  <c r="J13" i="43"/>
  <c r="G12" i="103"/>
  <c r="F11" i="102"/>
  <c r="G26" i="44"/>
  <c r="C37" i="22"/>
  <c r="I12" i="28"/>
  <c r="R20" i="18"/>
  <c r="F8" i="44"/>
  <c r="H11" i="111"/>
  <c r="H21" i="44"/>
  <c r="G53" i="119"/>
  <c r="J11" i="114"/>
  <c r="U8" i="103"/>
  <c r="E51" i="119"/>
  <c r="F65" i="107"/>
  <c r="C28" i="45"/>
  <c r="M25" i="44"/>
  <c r="J18" i="18"/>
  <c r="C38" i="112"/>
  <c r="D9" i="18"/>
  <c r="G12" i="22"/>
  <c r="F22" i="42"/>
  <c r="Q8" i="18"/>
  <c r="J6" i="102"/>
  <c r="K45" i="106"/>
  <c r="Q15" i="103"/>
  <c r="F49" i="6"/>
  <c r="I13" i="109"/>
  <c r="H22" i="111"/>
  <c r="U17" i="18"/>
  <c r="V23" i="102"/>
  <c r="K24" i="42"/>
  <c r="T25" i="103"/>
  <c r="L7" i="105"/>
  <c r="J20" i="43"/>
  <c r="G22" i="22"/>
  <c r="J18" i="109"/>
  <c r="F40" i="106"/>
  <c r="J21" i="103"/>
  <c r="J23" i="112"/>
  <c r="I9" i="105"/>
  <c r="V8" i="103"/>
  <c r="Q7" i="102"/>
  <c r="E9" i="18"/>
  <c r="I11" i="117"/>
  <c r="L7" i="43"/>
  <c r="I12" i="44"/>
  <c r="E72" i="107"/>
  <c r="T22" i="18"/>
  <c r="J16" i="109"/>
  <c r="X8" i="119"/>
  <c r="E76" i="107"/>
  <c r="F71" i="107"/>
  <c r="J16" i="44"/>
  <c r="R23" i="103"/>
  <c r="T15" i="103"/>
  <c r="V10" i="41"/>
  <c r="D50" i="119"/>
  <c r="G68" i="107"/>
  <c r="I30" i="10"/>
  <c r="T17" i="102"/>
  <c r="V14" i="18"/>
  <c r="G6" i="103"/>
  <c r="D18" i="18"/>
  <c r="F10" i="43"/>
  <c r="K22" i="43"/>
  <c r="S26" i="102"/>
  <c r="J19" i="110"/>
  <c r="F9" i="10"/>
  <c r="G40" i="107"/>
  <c r="L22" i="22"/>
  <c r="J21" i="110"/>
  <c r="P12" i="103"/>
  <c r="H15" i="110"/>
  <c r="H21" i="103"/>
  <c r="J20" i="110"/>
  <c r="J9" i="103"/>
  <c r="L20" i="22"/>
  <c r="I15" i="102"/>
  <c r="M15" i="42"/>
  <c r="Q22" i="18"/>
  <c r="J14" i="114"/>
  <c r="I20" i="103"/>
  <c r="K19" i="22"/>
  <c r="J52" i="105"/>
  <c r="S6" i="18"/>
  <c r="H23" i="117"/>
  <c r="I9" i="18"/>
  <c r="D25" i="44"/>
  <c r="H22" i="114"/>
  <c r="V25" i="103"/>
  <c r="G61" i="107"/>
  <c r="K12" i="105"/>
  <c r="O6" i="41"/>
  <c r="E62" i="111"/>
  <c r="J9" i="43"/>
  <c r="I19" i="111"/>
  <c r="E40" i="117"/>
  <c r="D26" i="43"/>
  <c r="H20" i="103"/>
  <c r="U20" i="102"/>
  <c r="J10" i="113"/>
  <c r="F55" i="107"/>
  <c r="L22" i="42"/>
  <c r="G20" i="42"/>
  <c r="K25" i="18"/>
  <c r="G9" i="18"/>
  <c r="R15" i="18"/>
  <c r="O14" i="18"/>
  <c r="C7" i="44"/>
  <c r="J13" i="112"/>
  <c r="H21" i="110"/>
  <c r="J25" i="43"/>
  <c r="I28" i="28"/>
  <c r="J17" i="44"/>
  <c r="L8" i="42"/>
  <c r="E23" i="44"/>
  <c r="P14" i="18"/>
  <c r="J15" i="110"/>
  <c r="R24" i="18"/>
  <c r="J19" i="117"/>
  <c r="K8" i="18"/>
  <c r="I17" i="28"/>
  <c r="J25" i="114"/>
  <c r="U23" i="103"/>
  <c r="M7" i="44"/>
  <c r="C56" i="28"/>
  <c r="I23" i="111"/>
  <c r="C59" i="112"/>
  <c r="E6" i="41"/>
  <c r="I15" i="115"/>
  <c r="G10" i="44"/>
  <c r="U19" i="18"/>
  <c r="J10" i="18"/>
  <c r="I47" i="12"/>
  <c r="E26" i="43"/>
  <c r="K24" i="43"/>
  <c r="E61" i="110"/>
  <c r="K6" i="103"/>
  <c r="M51" i="105"/>
  <c r="S14" i="102"/>
  <c r="F25" i="43"/>
  <c r="J15" i="18"/>
  <c r="I11" i="116"/>
  <c r="S7" i="103"/>
  <c r="H25" i="42"/>
  <c r="I20" i="113"/>
  <c r="H8" i="41"/>
  <c r="C53" i="117"/>
  <c r="V25" i="102"/>
  <c r="P20" i="13"/>
  <c r="J46" i="105"/>
  <c r="F14" i="18"/>
  <c r="U22" i="18"/>
  <c r="G26" i="22"/>
  <c r="L31" i="22"/>
  <c r="E82" i="119"/>
  <c r="H14" i="109"/>
  <c r="K11" i="105"/>
  <c r="I17" i="114"/>
  <c r="J17" i="28"/>
  <c r="M47" i="6"/>
  <c r="T14" i="18"/>
  <c r="D12" i="43"/>
  <c r="E40" i="107"/>
  <c r="P10" i="102"/>
  <c r="E11" i="10"/>
  <c r="H18" i="28"/>
  <c r="I14" i="18"/>
  <c r="L16" i="44"/>
  <c r="H19" i="112"/>
  <c r="I26" i="116"/>
  <c r="E15" i="42"/>
  <c r="M43" i="106"/>
  <c r="D35" i="119"/>
  <c r="J44" i="12"/>
  <c r="K13" i="22"/>
  <c r="I11" i="109"/>
  <c r="J21" i="117"/>
  <c r="F72" i="107"/>
  <c r="G70" i="119"/>
  <c r="D40" i="117"/>
  <c r="E72" i="119"/>
  <c r="L26" i="22"/>
  <c r="G1" i="41"/>
  <c r="D20" i="18"/>
  <c r="V18" i="103"/>
  <c r="H26" i="43"/>
  <c r="Q21" i="103"/>
  <c r="L27" i="22"/>
  <c r="D16" i="103"/>
  <c r="D41" i="119"/>
  <c r="I19" i="116"/>
  <c r="L8" i="6"/>
  <c r="E14" i="103"/>
  <c r="F58" i="107"/>
  <c r="O16" i="103"/>
  <c r="G16" i="43"/>
  <c r="I41" i="12"/>
  <c r="I50" i="119"/>
  <c r="H25" i="102"/>
  <c r="F10" i="103"/>
  <c r="D17" i="102"/>
  <c r="I12" i="113"/>
  <c r="J28" i="116"/>
  <c r="U20" i="18"/>
  <c r="D27" i="5"/>
  <c r="Q16" i="102"/>
  <c r="J26" i="117"/>
  <c r="E14" i="22"/>
  <c r="F52" i="105"/>
  <c r="E20" i="22"/>
  <c r="I12" i="109"/>
  <c r="I9" i="44"/>
  <c r="S9" i="102"/>
  <c r="J21" i="18"/>
  <c r="H17" i="111"/>
  <c r="K41" i="12"/>
  <c r="V26" i="18"/>
  <c r="J20" i="117"/>
  <c r="M11" i="44"/>
  <c r="D15" i="102"/>
  <c r="J12" i="114"/>
  <c r="J26" i="42"/>
  <c r="S21" i="102"/>
  <c r="P23" i="13"/>
  <c r="J11" i="105"/>
  <c r="G55" i="119"/>
  <c r="I21" i="113"/>
  <c r="I20" i="18"/>
  <c r="J21" i="115"/>
  <c r="H15" i="44"/>
  <c r="U6" i="41"/>
  <c r="S6" i="103"/>
  <c r="F70" i="119"/>
  <c r="U21" i="103"/>
  <c r="H11" i="43"/>
  <c r="I16" i="28"/>
  <c r="S26" i="103"/>
  <c r="L23" i="22"/>
  <c r="K22" i="103"/>
  <c r="E19" i="102"/>
  <c r="G14" i="44"/>
  <c r="D10" i="42"/>
  <c r="H18" i="111"/>
  <c r="C12" i="42"/>
  <c r="Q11" i="41"/>
  <c r="F20" i="42"/>
  <c r="F8" i="41"/>
  <c r="M20" i="42"/>
  <c r="F36" i="119"/>
  <c r="E12" i="79"/>
  <c r="G14" i="22"/>
  <c r="H15" i="115"/>
  <c r="H10" i="116"/>
  <c r="D72" i="119"/>
  <c r="E48" i="107"/>
  <c r="V19" i="102"/>
  <c r="T15" i="102"/>
  <c r="K10" i="105"/>
  <c r="I10" i="18"/>
  <c r="P19" i="103"/>
  <c r="D64" i="119"/>
  <c r="I14" i="22"/>
  <c r="J24" i="111"/>
  <c r="S19" i="102"/>
  <c r="M9" i="106"/>
  <c r="M14" i="44"/>
  <c r="I16" i="22"/>
  <c r="F20" i="18"/>
  <c r="K34" i="12"/>
  <c r="V1" i="41"/>
  <c r="J42" i="96"/>
  <c r="D40" i="119"/>
  <c r="J11" i="110"/>
  <c r="O7" i="18"/>
  <c r="J15" i="102"/>
  <c r="I20" i="28"/>
  <c r="D7" i="43"/>
  <c r="E58" i="117"/>
  <c r="I11" i="44"/>
  <c r="C5" i="110"/>
  <c r="E28" i="107"/>
  <c r="O11" i="103"/>
  <c r="I16" i="109"/>
  <c r="F16" i="43"/>
  <c r="D52" i="119"/>
  <c r="P16" i="103"/>
  <c r="L18" i="96"/>
  <c r="F23" i="18"/>
  <c r="J37" i="12"/>
  <c r="H21" i="116"/>
  <c r="G9" i="43"/>
  <c r="I11" i="106"/>
  <c r="G28" i="107"/>
  <c r="J15" i="114"/>
  <c r="F15" i="43"/>
  <c r="J17" i="112"/>
  <c r="U15" i="103"/>
  <c r="K15" i="22"/>
  <c r="I25" i="113"/>
  <c r="J13" i="109"/>
  <c r="I15" i="109"/>
  <c r="J7" i="18"/>
  <c r="G7" i="41"/>
  <c r="E30" i="105"/>
  <c r="I10" i="43"/>
  <c r="F44" i="13"/>
  <c r="I24" i="113"/>
  <c r="U12" i="18"/>
  <c r="C38" i="110"/>
  <c r="L7" i="42"/>
  <c r="D12" i="42"/>
  <c r="V8" i="18"/>
  <c r="L6" i="42"/>
  <c r="I25" i="115"/>
  <c r="V8" i="102"/>
  <c r="J16" i="112"/>
  <c r="K19" i="18"/>
  <c r="E11" i="102"/>
  <c r="K18" i="18"/>
  <c r="B2" i="3"/>
  <c r="T8" i="41"/>
  <c r="C54" i="109"/>
  <c r="I24" i="115"/>
  <c r="M17" i="42"/>
  <c r="U11" i="102"/>
  <c r="F69" i="119"/>
  <c r="J24" i="116"/>
  <c r="O22" i="18"/>
  <c r="H17" i="113"/>
  <c r="U13" i="18"/>
  <c r="R10" i="103"/>
  <c r="J9" i="18"/>
  <c r="U17" i="102"/>
  <c r="I22" i="43"/>
  <c r="I15" i="117"/>
  <c r="G8" i="44"/>
  <c r="H13" i="42"/>
  <c r="R19" i="18"/>
  <c r="I12" i="110"/>
  <c r="U16" i="102"/>
  <c r="I17" i="18"/>
  <c r="T10" i="41"/>
  <c r="J18" i="102"/>
  <c r="D17" i="42"/>
  <c r="K12" i="42"/>
  <c r="J38" i="12"/>
  <c r="Q19" i="102"/>
  <c r="H9" i="43"/>
  <c r="I23" i="103"/>
  <c r="H19" i="109"/>
  <c r="I25" i="116"/>
  <c r="L10" i="22"/>
  <c r="E9" i="5"/>
  <c r="L7" i="22"/>
  <c r="H16" i="116"/>
  <c r="I24" i="116"/>
  <c r="G71" i="119"/>
  <c r="J21" i="111"/>
  <c r="A32" i="43"/>
  <c r="G22" i="42"/>
  <c r="L8" i="43"/>
  <c r="I54" i="119"/>
  <c r="J20" i="42"/>
  <c r="V8" i="119"/>
  <c r="Q9" i="102"/>
  <c r="H20" i="102"/>
  <c r="H12" i="18"/>
  <c r="I24" i="102"/>
  <c r="F68" i="107"/>
  <c r="U15" i="102"/>
  <c r="V16" i="18"/>
  <c r="H12" i="103"/>
  <c r="Q11" i="103"/>
  <c r="G36" i="119"/>
  <c r="D38" i="109"/>
  <c r="M13" i="44"/>
  <c r="I16" i="116"/>
  <c r="J17" i="110"/>
  <c r="J15" i="109"/>
  <c r="J11" i="42"/>
  <c r="J26" i="113"/>
  <c r="I26" i="112"/>
  <c r="J24" i="113"/>
  <c r="G16" i="18"/>
  <c r="G17" i="103"/>
  <c r="D66" i="119"/>
  <c r="I21" i="114"/>
  <c r="K14" i="105"/>
  <c r="E59" i="107"/>
  <c r="I13" i="113"/>
  <c r="I28" i="112"/>
  <c r="J11" i="115"/>
  <c r="I20" i="22"/>
  <c r="H18" i="18"/>
  <c r="H16" i="114"/>
  <c r="H17" i="115"/>
  <c r="K10" i="42"/>
  <c r="C55" i="114"/>
  <c r="H14" i="111"/>
  <c r="K56" i="105"/>
  <c r="L16" i="96"/>
  <c r="M25" i="42"/>
  <c r="J18" i="114"/>
  <c r="H22" i="103"/>
  <c r="H15" i="43"/>
  <c r="I6" i="102"/>
  <c r="F17" i="79"/>
  <c r="P10" i="18"/>
  <c r="M13" i="43"/>
  <c r="G65" i="119"/>
  <c r="F12" i="10"/>
  <c r="G21" i="42"/>
  <c r="H48" i="6"/>
  <c r="I14" i="109"/>
  <c r="O17" i="102"/>
  <c r="J17" i="115"/>
  <c r="F17" i="102"/>
  <c r="H10" i="117"/>
  <c r="M14" i="42"/>
  <c r="P13" i="103"/>
  <c r="L13" i="43"/>
  <c r="I20" i="116"/>
  <c r="I26" i="113"/>
  <c r="M42" i="96"/>
  <c r="E22" i="43"/>
  <c r="L49" i="105"/>
  <c r="Q10" i="103"/>
  <c r="U26" i="18"/>
  <c r="G9" i="22"/>
  <c r="M26" i="42"/>
  <c r="G60" i="107"/>
  <c r="J18" i="115"/>
  <c r="F31" i="107"/>
  <c r="K16" i="18"/>
  <c r="K34" i="22"/>
  <c r="M19" i="44"/>
  <c r="H48" i="105"/>
  <c r="D12" i="79"/>
  <c r="Q11" i="102"/>
  <c r="J28" i="112"/>
  <c r="D10" i="102"/>
  <c r="H26" i="113"/>
  <c r="H71" i="119"/>
  <c r="I17" i="103"/>
  <c r="P23" i="103"/>
  <c r="I25" i="42"/>
  <c r="E22" i="42"/>
  <c r="F30" i="5"/>
  <c r="S21" i="18"/>
  <c r="E84" i="119"/>
  <c r="I16" i="112"/>
  <c r="I7" i="18"/>
  <c r="K8" i="106"/>
  <c r="I13" i="28"/>
  <c r="H26" i="103"/>
  <c r="E17" i="103"/>
  <c r="C54" i="116"/>
  <c r="Q18" i="18"/>
  <c r="C55" i="112"/>
  <c r="J17" i="114"/>
  <c r="F15" i="18"/>
  <c r="J26" i="102"/>
  <c r="C8" i="103"/>
  <c r="F8" i="103"/>
  <c r="E18" i="79"/>
  <c r="I35" i="119"/>
  <c r="D13" i="18"/>
  <c r="G18" i="103"/>
  <c r="I28" i="111"/>
  <c r="F21" i="102"/>
  <c r="Q9" i="103"/>
  <c r="K15" i="18"/>
  <c r="H38" i="119"/>
  <c r="J24" i="42"/>
  <c r="F66" i="119"/>
  <c r="J6" i="44"/>
  <c r="E42" i="107"/>
  <c r="I7" i="43"/>
  <c r="F19" i="103"/>
  <c r="E10" i="44"/>
  <c r="P21" i="103"/>
  <c r="K9" i="103"/>
  <c r="E21" i="18"/>
  <c r="O10" i="18"/>
  <c r="M6" i="44"/>
  <c r="G65" i="107"/>
  <c r="P10" i="41"/>
  <c r="T11" i="103"/>
  <c r="H26" i="111"/>
  <c r="E60" i="109"/>
  <c r="I14" i="28"/>
  <c r="Q12" i="18"/>
  <c r="H7" i="41"/>
  <c r="I18" i="22"/>
  <c r="G39" i="119"/>
  <c r="M23" i="44"/>
  <c r="H12" i="44"/>
  <c r="I11" i="112"/>
  <c r="T7" i="102"/>
  <c r="H11" i="18"/>
  <c r="E14" i="18"/>
  <c r="J20" i="111"/>
  <c r="K8" i="105"/>
  <c r="H22" i="117"/>
  <c r="E9" i="79"/>
  <c r="I15" i="103"/>
  <c r="H25" i="114"/>
  <c r="V17" i="102"/>
  <c r="G72" i="119"/>
  <c r="I42" i="96"/>
  <c r="H23" i="44"/>
  <c r="R25" i="18"/>
  <c r="L6" i="43"/>
  <c r="C23" i="28"/>
  <c r="H16" i="115"/>
  <c r="F7" i="43"/>
  <c r="D10" i="79"/>
  <c r="E11" i="79"/>
  <c r="D38" i="110"/>
  <c r="K24" i="18"/>
  <c r="D8" i="42"/>
  <c r="D14" i="43"/>
  <c r="S22" i="18"/>
  <c r="I65" i="119"/>
  <c r="H51" i="119"/>
  <c r="K8" i="6"/>
  <c r="G6" i="42"/>
  <c r="D9" i="103"/>
  <c r="K21" i="18"/>
  <c r="G26" i="42"/>
  <c r="I12" i="102"/>
  <c r="E41" i="119"/>
  <c r="Q11" i="18"/>
  <c r="J18" i="28"/>
  <c r="O11" i="18"/>
  <c r="H28" i="110"/>
  <c r="M18" i="42"/>
  <c r="T21" i="18"/>
  <c r="G75" i="107"/>
  <c r="K50" i="12"/>
  <c r="I14" i="117"/>
  <c r="I24" i="110"/>
  <c r="J26" i="110"/>
  <c r="F18" i="102"/>
  <c r="J12" i="111"/>
  <c r="K27" i="22"/>
  <c r="K62" i="12"/>
  <c r="I16" i="103"/>
  <c r="P6" i="18"/>
  <c r="V22" i="102"/>
  <c r="K20" i="102"/>
  <c r="J12" i="18"/>
  <c r="I12" i="114"/>
  <c r="K6" i="102"/>
  <c r="H6" i="42"/>
  <c r="K56" i="12"/>
  <c r="K7" i="105"/>
  <c r="G7" i="22"/>
  <c r="L9" i="6"/>
  <c r="S22" i="102"/>
  <c r="E63" i="107"/>
  <c r="I11" i="113"/>
  <c r="E71" i="119"/>
  <c r="C7" i="41"/>
  <c r="E19" i="107"/>
  <c r="E8" i="79"/>
  <c r="I22" i="114"/>
  <c r="F6" i="43"/>
  <c r="L8" i="44"/>
  <c r="H20" i="18"/>
  <c r="E9" i="10"/>
  <c r="H19" i="117"/>
  <c r="O26" i="102"/>
  <c r="G12" i="18"/>
  <c r="J7" i="103"/>
  <c r="I26" i="44"/>
  <c r="K11" i="44"/>
  <c r="I20" i="44"/>
  <c r="U10" i="41"/>
  <c r="J20" i="102"/>
  <c r="C9" i="45"/>
  <c r="C20" i="42"/>
  <c r="F39" i="119"/>
  <c r="H28" i="112"/>
  <c r="D20" i="103"/>
  <c r="E47" i="12"/>
  <c r="H11" i="117"/>
  <c r="R21" i="18"/>
  <c r="U23" i="102"/>
  <c r="D21" i="102"/>
  <c r="E14" i="102"/>
  <c r="K31" i="22"/>
  <c r="G23" i="107"/>
  <c r="F26" i="5"/>
  <c r="E38" i="107"/>
  <c r="E7" i="102"/>
  <c r="I12" i="117"/>
  <c r="F30" i="10"/>
  <c r="J21" i="113"/>
  <c r="J11" i="44"/>
  <c r="E18" i="102"/>
  <c r="J12" i="105"/>
  <c r="R6" i="102"/>
  <c r="L9" i="44"/>
  <c r="J20" i="28"/>
  <c r="D15" i="103"/>
  <c r="C38" i="115"/>
  <c r="K16" i="42"/>
  <c r="E60" i="107"/>
  <c r="I10" i="103"/>
  <c r="I8" i="43"/>
  <c r="E11" i="41"/>
  <c r="I8" i="44"/>
  <c r="E60" i="110"/>
  <c r="F50" i="105"/>
  <c r="E22" i="44"/>
  <c r="G72" i="107"/>
  <c r="I22" i="18"/>
  <c r="L12" i="105"/>
  <c r="D13" i="43"/>
  <c r="I49" i="119"/>
  <c r="G19" i="102"/>
  <c r="K23" i="18"/>
  <c r="I53" i="119"/>
  <c r="J18" i="117"/>
  <c r="C2" i="41"/>
  <c r="Q14" i="18"/>
  <c r="F7" i="18"/>
  <c r="F9" i="102"/>
  <c r="G14" i="43"/>
  <c r="E62" i="114"/>
  <c r="V6" i="119"/>
  <c r="J23" i="115"/>
  <c r="F8" i="43"/>
  <c r="I38" i="119"/>
  <c r="G23" i="44"/>
  <c r="C55" i="110"/>
  <c r="J39" i="12"/>
  <c r="F10" i="18"/>
  <c r="G14" i="103"/>
  <c r="U10" i="103"/>
  <c r="I23" i="28"/>
  <c r="S7" i="41"/>
  <c r="G9" i="79"/>
  <c r="I21" i="112"/>
  <c r="J7" i="44"/>
  <c r="M17" i="43"/>
  <c r="T14" i="102"/>
  <c r="E42" i="111"/>
  <c r="F24" i="44"/>
  <c r="F22" i="107"/>
  <c r="V12" i="119"/>
  <c r="S8" i="102"/>
  <c r="F13" i="44"/>
  <c r="J26" i="116"/>
  <c r="G6" i="43"/>
  <c r="H24" i="103"/>
  <c r="E60" i="117"/>
  <c r="I8" i="41"/>
  <c r="I13" i="102"/>
  <c r="H17" i="109"/>
  <c r="H8" i="6"/>
  <c r="E33" i="22"/>
  <c r="U25" i="18"/>
  <c r="D23" i="102"/>
  <c r="X9" i="119"/>
  <c r="E60" i="113"/>
  <c r="L13" i="42"/>
  <c r="H14" i="114"/>
  <c r="J25" i="116"/>
  <c r="L18" i="22"/>
  <c r="J14" i="116"/>
  <c r="D65" i="119"/>
  <c r="I28" i="114"/>
  <c r="P18" i="103"/>
  <c r="P10" i="103"/>
  <c r="O25" i="18"/>
  <c r="J21" i="109"/>
  <c r="L11" i="106"/>
  <c r="F29" i="107"/>
  <c r="F19" i="43"/>
  <c r="H49" i="6"/>
  <c r="F17" i="18"/>
  <c r="H15" i="103"/>
  <c r="K9" i="22"/>
  <c r="J10" i="41"/>
  <c r="F54" i="107"/>
  <c r="G39" i="107"/>
  <c r="J12" i="113"/>
  <c r="D16" i="44"/>
  <c r="E71" i="107"/>
  <c r="M18" i="44"/>
  <c r="Q7" i="41"/>
  <c r="T18" i="103"/>
  <c r="J7" i="106"/>
  <c r="E59" i="28"/>
  <c r="J13" i="28"/>
  <c r="G19" i="107"/>
  <c r="Q25" i="103"/>
  <c r="D11" i="18"/>
  <c r="P9" i="41"/>
  <c r="K40" i="12"/>
  <c r="I20" i="42"/>
  <c r="P15" i="18"/>
  <c r="G62" i="3"/>
  <c r="C5" i="114"/>
  <c r="J10" i="117"/>
  <c r="D17" i="43"/>
  <c r="H18" i="109"/>
  <c r="R14" i="103"/>
  <c r="I21" i="42"/>
  <c r="R13" i="102"/>
  <c r="I12" i="43"/>
  <c r="E62" i="116"/>
  <c r="I23" i="42"/>
  <c r="F10" i="42"/>
  <c r="F31" i="5"/>
  <c r="I52" i="119"/>
  <c r="M21" i="42"/>
  <c r="J45" i="12"/>
  <c r="Q26" i="103"/>
  <c r="G74" i="107"/>
  <c r="O6" i="103"/>
  <c r="F42" i="107"/>
  <c r="P9" i="18"/>
  <c r="S20" i="18"/>
  <c r="E6" i="42"/>
  <c r="J41" i="106"/>
  <c r="Q17" i="18"/>
  <c r="I15" i="113"/>
  <c r="G20" i="44"/>
  <c r="H18" i="117"/>
  <c r="E65" i="107"/>
  <c r="L6" i="44"/>
  <c r="J11" i="28"/>
  <c r="T15" i="18"/>
  <c r="F37" i="10"/>
  <c r="J10" i="6"/>
  <c r="O23" i="18"/>
  <c r="L14" i="105"/>
  <c r="V18" i="102"/>
  <c r="F36" i="107"/>
  <c r="R7" i="41"/>
  <c r="I9" i="41"/>
  <c r="J24" i="18"/>
  <c r="E42" i="113"/>
  <c r="G30" i="10"/>
  <c r="Q13" i="103"/>
  <c r="I17" i="117"/>
  <c r="D9" i="44"/>
  <c r="P24" i="18"/>
  <c r="I14" i="105"/>
  <c r="I63" i="12"/>
  <c r="D25" i="18"/>
  <c r="E11" i="103"/>
  <c r="I12" i="105"/>
  <c r="F21" i="103"/>
  <c r="Q12" i="102"/>
  <c r="E16" i="18"/>
  <c r="D19" i="42"/>
  <c r="J52" i="12"/>
  <c r="K25" i="103"/>
  <c r="D11" i="41"/>
  <c r="K7" i="18"/>
  <c r="H28" i="116"/>
  <c r="E30" i="107"/>
  <c r="L11" i="22"/>
  <c r="J16" i="113"/>
  <c r="P20" i="103"/>
  <c r="J22" i="42"/>
  <c r="I25" i="110"/>
  <c r="L42" i="106"/>
  <c r="M25" i="43"/>
  <c r="G66" i="119"/>
  <c r="Q17" i="102"/>
  <c r="J9" i="6"/>
  <c r="G15" i="44"/>
  <c r="I24" i="117"/>
  <c r="D37" i="116"/>
  <c r="M12" i="105"/>
  <c r="O8" i="102"/>
  <c r="F64" i="119"/>
  <c r="I34" i="22"/>
  <c r="K49" i="12"/>
  <c r="E12" i="42"/>
  <c r="R16" i="103"/>
  <c r="E31" i="6"/>
  <c r="H14" i="28"/>
  <c r="E38" i="12"/>
  <c r="I19" i="22"/>
  <c r="J7" i="42"/>
  <c r="I17" i="43"/>
  <c r="F15" i="103"/>
  <c r="E7" i="44"/>
  <c r="J24" i="28"/>
  <c r="S24" i="102"/>
  <c r="H23" i="111"/>
  <c r="U8" i="102"/>
  <c r="J12" i="116"/>
  <c r="J26" i="111"/>
  <c r="E22" i="22"/>
  <c r="D85" i="119"/>
  <c r="T13" i="103"/>
  <c r="G11" i="41"/>
  <c r="T22" i="102"/>
  <c r="I11" i="42"/>
  <c r="H15" i="112"/>
  <c r="I12" i="42"/>
  <c r="J54" i="12"/>
  <c r="J15" i="112"/>
  <c r="J19" i="114"/>
  <c r="I24" i="18"/>
  <c r="I10" i="112"/>
  <c r="S22" i="103"/>
  <c r="H16" i="111"/>
  <c r="T6" i="103"/>
  <c r="Q19" i="18"/>
  <c r="L22" i="44"/>
  <c r="I26" i="103"/>
  <c r="F21" i="18"/>
  <c r="H18" i="115"/>
  <c r="P24" i="13"/>
  <c r="F101" i="128"/>
  <c r="E49" i="128"/>
  <c r="F72" i="128"/>
  <c r="E15" i="44"/>
  <c r="L24" i="22"/>
  <c r="F11" i="18"/>
  <c r="H14" i="117"/>
  <c r="H17" i="117"/>
  <c r="E37" i="10"/>
  <c r="T12" i="103"/>
  <c r="D54" i="3"/>
  <c r="E17" i="79"/>
  <c r="J10" i="116"/>
  <c r="H22" i="28"/>
  <c r="E63" i="113"/>
  <c r="H8" i="102"/>
  <c r="J11" i="106"/>
  <c r="Q21" i="18"/>
  <c r="E49" i="119"/>
  <c r="E63" i="109"/>
  <c r="L10" i="105"/>
  <c r="D38" i="112"/>
  <c r="H13" i="102"/>
  <c r="I10" i="44"/>
  <c r="J8" i="42"/>
  <c r="H12" i="102"/>
  <c r="I27" i="22"/>
  <c r="E41" i="128"/>
  <c r="I26" i="28"/>
  <c r="I60" i="12"/>
  <c r="F123" i="128"/>
  <c r="I13" i="112"/>
  <c r="L46" i="105"/>
  <c r="K13" i="103"/>
  <c r="D13" i="103"/>
  <c r="I23" i="112"/>
  <c r="D12" i="102"/>
  <c r="G20" i="103"/>
  <c r="E10" i="103"/>
  <c r="H10" i="110"/>
  <c r="G63" i="3"/>
  <c r="I10" i="105"/>
  <c r="J7" i="105"/>
  <c r="G28" i="128"/>
  <c r="C43" i="13"/>
  <c r="I18" i="44"/>
  <c r="T20" i="102"/>
  <c r="K8" i="103"/>
  <c r="H21" i="109"/>
  <c r="U22" i="102"/>
  <c r="F40" i="107"/>
  <c r="E64" i="107"/>
  <c r="D25" i="103"/>
  <c r="K15" i="103"/>
  <c r="C38" i="111"/>
  <c r="L24" i="44"/>
  <c r="F46" i="105"/>
  <c r="G23" i="103"/>
  <c r="F24" i="128"/>
  <c r="F168" i="128"/>
  <c r="F137" i="128"/>
  <c r="G8" i="79"/>
  <c r="J17" i="116"/>
  <c r="V24" i="18"/>
  <c r="V9" i="102"/>
  <c r="D18" i="79"/>
  <c r="J18" i="116"/>
  <c r="I54" i="12"/>
  <c r="I24" i="44"/>
  <c r="K16" i="44"/>
  <c r="J22" i="43"/>
  <c r="F9" i="42"/>
  <c r="O12" i="102"/>
  <c r="E34" i="119"/>
  <c r="F175" i="128"/>
  <c r="G147" i="128"/>
  <c r="E138" i="128"/>
  <c r="D42" i="115"/>
  <c r="I26" i="43"/>
  <c r="S11" i="102"/>
  <c r="K25" i="43"/>
  <c r="S20" i="103"/>
  <c r="E63" i="116"/>
  <c r="R23" i="102"/>
  <c r="H15" i="117"/>
  <c r="C55" i="111"/>
  <c r="H17" i="116"/>
  <c r="J16" i="116"/>
  <c r="G54" i="107"/>
  <c r="E33" i="6"/>
  <c r="P10" i="13"/>
  <c r="H12" i="109"/>
  <c r="S15" i="103"/>
  <c r="C5" i="113"/>
  <c r="G19" i="22"/>
  <c r="I14" i="103"/>
  <c r="K7" i="6"/>
  <c r="E37" i="105"/>
  <c r="I12" i="22"/>
  <c r="C5" i="116"/>
  <c r="J46" i="12"/>
  <c r="F9" i="18"/>
  <c r="R10" i="102"/>
  <c r="U22" i="103"/>
  <c r="F53" i="119"/>
  <c r="L14" i="42"/>
  <c r="S17" i="103"/>
  <c r="P7" i="102"/>
  <c r="G25" i="103"/>
  <c r="H16" i="112"/>
  <c r="I16" i="42"/>
  <c r="I35" i="22"/>
  <c r="J14" i="112"/>
  <c r="U18" i="18"/>
  <c r="J10" i="114"/>
  <c r="E25" i="44"/>
  <c r="F14" i="44"/>
  <c r="J16" i="111"/>
  <c r="M14" i="43"/>
  <c r="J11" i="112"/>
  <c r="D38" i="114"/>
  <c r="F49" i="105"/>
  <c r="D44" i="13"/>
  <c r="E25" i="103"/>
  <c r="D7" i="44"/>
  <c r="F40" i="128"/>
  <c r="G80" i="128"/>
  <c r="F15" i="102"/>
  <c r="I13" i="116"/>
  <c r="H12" i="112"/>
  <c r="V12" i="18"/>
  <c r="R7" i="18"/>
  <c r="J26" i="112"/>
  <c r="F21" i="44"/>
  <c r="G12" i="44"/>
  <c r="F14" i="102"/>
  <c r="J50" i="6"/>
  <c r="P11" i="102"/>
  <c r="L16" i="42"/>
  <c r="G69" i="119"/>
  <c r="P18" i="102"/>
  <c r="G49" i="107"/>
  <c r="I20" i="117"/>
  <c r="H16" i="110"/>
  <c r="H26" i="112"/>
  <c r="C42" i="111"/>
  <c r="M7" i="106"/>
  <c r="I28" i="115"/>
  <c r="G70" i="107"/>
  <c r="S21" i="103"/>
  <c r="K7" i="103"/>
  <c r="G18" i="128"/>
  <c r="F12" i="102"/>
  <c r="P26" i="13"/>
  <c r="G106" i="128"/>
  <c r="E19" i="44"/>
  <c r="K19" i="44"/>
  <c r="J12" i="103"/>
  <c r="F53" i="107"/>
  <c r="J50" i="105"/>
  <c r="M50" i="105"/>
  <c r="U26" i="103"/>
  <c r="I18" i="110"/>
  <c r="J22" i="116"/>
  <c r="L22" i="96"/>
  <c r="O9" i="103"/>
  <c r="H57" i="119"/>
  <c r="E99" i="128"/>
  <c r="F24" i="103"/>
  <c r="G7" i="43"/>
  <c r="I16" i="44"/>
  <c r="I21" i="102"/>
  <c r="E61" i="115"/>
  <c r="B5" i="96"/>
  <c r="K43" i="12"/>
  <c r="O26" i="103"/>
  <c r="P8" i="18"/>
  <c r="U26" i="102"/>
  <c r="E31" i="10"/>
  <c r="J19" i="111"/>
  <c r="I9" i="6"/>
  <c r="J22" i="110"/>
  <c r="F174" i="128"/>
  <c r="E6" i="128"/>
  <c r="E25" i="128"/>
  <c r="K14" i="44"/>
  <c r="F13" i="103"/>
  <c r="I70" i="119"/>
  <c r="E11" i="42"/>
  <c r="R26" i="103"/>
  <c r="O25" i="102"/>
  <c r="H17" i="112"/>
  <c r="E39" i="107"/>
  <c r="J26" i="103"/>
  <c r="E40" i="119"/>
  <c r="K16" i="43"/>
  <c r="M19" i="43"/>
  <c r="I21" i="111"/>
  <c r="O9" i="41"/>
  <c r="G13" i="18"/>
  <c r="J19" i="18"/>
  <c r="I25" i="114"/>
  <c r="G20" i="102"/>
  <c r="H17" i="42"/>
  <c r="S18" i="18"/>
  <c r="I19" i="109"/>
  <c r="Q22" i="103"/>
  <c r="F20" i="43"/>
  <c r="H25" i="116"/>
  <c r="F17" i="103"/>
  <c r="J13" i="115"/>
  <c r="H28" i="117"/>
  <c r="G42" i="107"/>
  <c r="T22" i="103"/>
  <c r="I51" i="12"/>
  <c r="K45" i="12"/>
  <c r="E13" i="103"/>
  <c r="F130" i="128"/>
  <c r="J10" i="112"/>
  <c r="F140" i="128"/>
  <c r="G39" i="128"/>
  <c r="M10" i="105"/>
  <c r="H12" i="110"/>
  <c r="U18" i="103"/>
  <c r="F9" i="41"/>
  <c r="E26" i="103"/>
  <c r="I19" i="44"/>
  <c r="G7" i="18"/>
  <c r="E31" i="105"/>
  <c r="V15" i="18"/>
  <c r="V11" i="103"/>
  <c r="F61" i="107"/>
  <c r="J18" i="44"/>
  <c r="I14" i="44"/>
  <c r="G12" i="102"/>
  <c r="J14" i="109"/>
  <c r="C13" i="41"/>
  <c r="O12" i="18"/>
  <c r="F35" i="119"/>
  <c r="I23" i="117"/>
  <c r="I9" i="42"/>
  <c r="D49" i="119"/>
  <c r="I18" i="28"/>
  <c r="F7" i="103"/>
  <c r="L19" i="44"/>
  <c r="E21" i="128"/>
  <c r="J9" i="41"/>
  <c r="J47" i="12"/>
  <c r="G49" i="128"/>
  <c r="M41" i="106"/>
  <c r="D41" i="116"/>
  <c r="V16" i="102"/>
  <c r="H43" i="13"/>
  <c r="C42" i="114"/>
  <c r="K10" i="18"/>
  <c r="I15" i="44"/>
  <c r="F11" i="44"/>
  <c r="L20" i="96"/>
  <c r="R18" i="102"/>
  <c r="E28" i="106"/>
  <c r="H48" i="13"/>
  <c r="G73" i="128"/>
  <c r="G17" i="128"/>
  <c r="E20" i="44"/>
  <c r="I23" i="115"/>
  <c r="P25" i="13"/>
  <c r="G8" i="5"/>
  <c r="P42" i="96"/>
  <c r="M7" i="42"/>
  <c r="R17" i="18"/>
  <c r="D14" i="42"/>
  <c r="E62" i="110"/>
  <c r="C52" i="28"/>
  <c r="L9" i="42"/>
  <c r="G41" i="107"/>
  <c r="F21" i="79"/>
  <c r="E174" i="128"/>
  <c r="F18" i="128"/>
  <c r="E42" i="128"/>
  <c r="I21" i="110"/>
  <c r="I19" i="18"/>
  <c r="J20" i="109"/>
  <c r="J10" i="111"/>
  <c r="X10" i="119"/>
  <c r="J16" i="103"/>
  <c r="H15" i="116"/>
  <c r="J9" i="105"/>
  <c r="D38" i="115"/>
  <c r="I49" i="12"/>
  <c r="G18" i="107"/>
  <c r="J48" i="12"/>
  <c r="G127" i="128"/>
  <c r="J58" i="12"/>
  <c r="O14" i="102"/>
  <c r="G25" i="128"/>
  <c r="G9" i="44"/>
  <c r="I11" i="111"/>
  <c r="V26" i="102"/>
  <c r="G38" i="107"/>
  <c r="K8" i="44"/>
  <c r="M47" i="105"/>
  <c r="I23" i="109"/>
  <c r="D6" i="42"/>
  <c r="P11" i="18"/>
  <c r="S8" i="103"/>
  <c r="H19" i="111"/>
  <c r="T12" i="18"/>
  <c r="F66" i="128"/>
  <c r="K18" i="44"/>
  <c r="J19" i="115"/>
  <c r="I25" i="117"/>
  <c r="G11" i="42"/>
  <c r="J7" i="102"/>
  <c r="H7" i="103"/>
  <c r="H12" i="115"/>
  <c r="M21" i="44"/>
  <c r="C36" i="117"/>
  <c r="H21" i="28"/>
  <c r="F16" i="18"/>
  <c r="E18" i="22"/>
  <c r="R20" i="103"/>
  <c r="H28" i="115"/>
  <c r="J23" i="111"/>
  <c r="J23" i="116"/>
  <c r="I18" i="18"/>
  <c r="L9" i="105"/>
  <c r="H51" i="105"/>
  <c r="E46" i="107"/>
  <c r="D18" i="44"/>
  <c r="E34" i="6"/>
  <c r="F26" i="102"/>
  <c r="H9" i="106"/>
  <c r="S8" i="41"/>
  <c r="K48" i="12"/>
  <c r="J14" i="113"/>
  <c r="P16" i="18"/>
  <c r="E59" i="109"/>
  <c r="H16" i="109"/>
  <c r="E35" i="105"/>
  <c r="M22" i="43"/>
  <c r="J56" i="12"/>
  <c r="E128" i="128"/>
  <c r="P30" i="13"/>
  <c r="C39" i="13"/>
  <c r="G83" i="128"/>
  <c r="H10" i="105"/>
  <c r="C5" i="117"/>
  <c r="R20" i="102"/>
  <c r="K15" i="102"/>
  <c r="J24" i="102"/>
  <c r="I16" i="113"/>
  <c r="J28" i="111"/>
  <c r="M49" i="105"/>
  <c r="U24" i="103"/>
  <c r="S24" i="18"/>
  <c r="H25" i="117"/>
  <c r="I7" i="105"/>
  <c r="L34" i="22"/>
  <c r="F17" i="44"/>
  <c r="V7" i="102"/>
  <c r="J16" i="115"/>
  <c r="F10" i="10"/>
  <c r="T13" i="18"/>
  <c r="H16" i="113"/>
  <c r="J25" i="111"/>
  <c r="H42" i="119"/>
  <c r="I18" i="109"/>
  <c r="F26" i="42"/>
  <c r="K16" i="22"/>
  <c r="G105" i="128"/>
  <c r="E103" i="128"/>
  <c r="O8" i="18"/>
  <c r="L19" i="96"/>
  <c r="P22" i="18"/>
  <c r="L35" i="22"/>
  <c r="K11" i="18"/>
  <c r="I15" i="42"/>
  <c r="L40" i="106"/>
  <c r="T9" i="103"/>
  <c r="I25" i="103"/>
  <c r="I19" i="115"/>
  <c r="L10" i="43"/>
  <c r="H12" i="111"/>
  <c r="H46" i="105"/>
  <c r="L14" i="44"/>
  <c r="G31" i="128"/>
  <c r="G153" i="128"/>
  <c r="M14" i="105"/>
  <c r="M8" i="43"/>
  <c r="J22" i="109"/>
  <c r="I16" i="117"/>
  <c r="G18" i="22"/>
  <c r="F47" i="6"/>
  <c r="E10" i="102"/>
  <c r="H16" i="117"/>
  <c r="K25" i="102"/>
  <c r="S20" i="102"/>
  <c r="K30" i="22"/>
  <c r="M48" i="105"/>
  <c r="J11" i="113"/>
  <c r="J21" i="114"/>
  <c r="D36" i="117"/>
  <c r="F147" i="128"/>
  <c r="L23" i="42"/>
  <c r="G34" i="22"/>
  <c r="L9" i="43"/>
  <c r="E24" i="22"/>
  <c r="I20" i="111"/>
  <c r="O21" i="102"/>
  <c r="H12" i="116"/>
  <c r="L7" i="6"/>
  <c r="E60" i="114"/>
  <c r="I10" i="111"/>
  <c r="D19" i="44"/>
  <c r="S10" i="103"/>
  <c r="E46" i="128"/>
  <c r="L50" i="105"/>
  <c r="U19" i="102"/>
  <c r="G131" i="128"/>
  <c r="P28" i="13"/>
  <c r="L12" i="42"/>
  <c r="J14" i="28"/>
  <c r="E24" i="42"/>
  <c r="E56" i="119"/>
  <c r="K22" i="22"/>
  <c r="L17" i="22"/>
  <c r="U20" i="103"/>
  <c r="I26" i="102"/>
  <c r="E18" i="103"/>
  <c r="J23" i="18"/>
  <c r="E42" i="112"/>
  <c r="G15" i="128"/>
  <c r="R16" i="102"/>
  <c r="H14" i="42"/>
  <c r="U7" i="41"/>
  <c r="I15" i="110"/>
  <c r="J17" i="102"/>
  <c r="G31" i="22"/>
  <c r="E9" i="103"/>
  <c r="I6" i="43"/>
  <c r="E70" i="119"/>
  <c r="L17" i="43"/>
  <c r="F20" i="102"/>
  <c r="F22" i="44"/>
  <c r="J10" i="110"/>
  <c r="J25" i="42"/>
  <c r="Q10" i="102"/>
  <c r="O17" i="18"/>
  <c r="V22" i="18"/>
  <c r="F18" i="18"/>
  <c r="I52" i="12"/>
  <c r="E61" i="107"/>
  <c r="L26" i="44"/>
  <c r="H25" i="110"/>
  <c r="J16" i="28"/>
  <c r="H7" i="42"/>
  <c r="E22" i="102"/>
  <c r="E26" i="42"/>
  <c r="C51" i="13"/>
  <c r="C2" i="22"/>
  <c r="E41" i="116"/>
  <c r="U7" i="102"/>
  <c r="C41" i="116"/>
  <c r="T8" i="102"/>
  <c r="D11" i="79"/>
  <c r="E11" i="18"/>
  <c r="K13" i="43"/>
  <c r="G52" i="107"/>
  <c r="I19" i="112"/>
  <c r="D42" i="113"/>
  <c r="I20" i="112"/>
  <c r="L18" i="44"/>
  <c r="J15" i="111"/>
  <c r="E122" i="128"/>
  <c r="F12" i="18"/>
  <c r="Q24" i="102"/>
  <c r="F118" i="128"/>
  <c r="C28" i="102"/>
  <c r="K54" i="12"/>
  <c r="K18" i="43"/>
  <c r="G53" i="107"/>
  <c r="H28" i="109"/>
  <c r="H6" i="102"/>
  <c r="R42" i="96"/>
  <c r="V13" i="18"/>
  <c r="I23" i="116"/>
  <c r="E13" i="18"/>
  <c r="J51" i="12"/>
  <c r="S15" i="18"/>
  <c r="J7" i="43"/>
  <c r="E61" i="111"/>
  <c r="I13" i="117"/>
  <c r="J14" i="117"/>
  <c r="F7" i="41"/>
  <c r="K35" i="22"/>
  <c r="H25" i="109"/>
  <c r="P11" i="13"/>
  <c r="E79" i="107"/>
  <c r="I25" i="44"/>
  <c r="O22" i="103"/>
  <c r="D7" i="18"/>
  <c r="G75" i="128"/>
  <c r="G161" i="128"/>
  <c r="J21" i="112"/>
  <c r="E12" i="22"/>
  <c r="J26" i="115"/>
  <c r="H8" i="43"/>
  <c r="S15" i="102"/>
  <c r="I9" i="43"/>
  <c r="H18" i="103"/>
  <c r="E64" i="112"/>
  <c r="F11" i="10"/>
  <c r="G19" i="44"/>
  <c r="I11" i="103"/>
  <c r="G15" i="22"/>
  <c r="Q6" i="41"/>
  <c r="G15" i="43"/>
  <c r="E127" i="128"/>
  <c r="E132" i="128"/>
  <c r="H12" i="43"/>
  <c r="J22" i="18"/>
  <c r="J16" i="110"/>
  <c r="C55" i="115"/>
  <c r="P6" i="13"/>
  <c r="C42" i="110"/>
  <c r="L14" i="22"/>
  <c r="F32" i="107"/>
  <c r="E8" i="18"/>
  <c r="G24" i="18"/>
  <c r="H10" i="109"/>
  <c r="I14" i="111"/>
  <c r="F166" i="128"/>
  <c r="E38" i="110"/>
  <c r="H42" i="106"/>
  <c r="E60" i="128"/>
  <c r="J20" i="113"/>
  <c r="I17" i="111"/>
  <c r="C5" i="28"/>
  <c r="J34" i="12"/>
  <c r="I16" i="18"/>
  <c r="M50" i="6"/>
  <c r="E33" i="105"/>
  <c r="O42" i="96"/>
  <c r="G22" i="44"/>
  <c r="G47" i="107"/>
  <c r="H14" i="115"/>
  <c r="J19" i="112"/>
  <c r="E16" i="128"/>
  <c r="I11" i="43"/>
  <c r="G38" i="10"/>
  <c r="F102" i="128"/>
  <c r="E61" i="116"/>
  <c r="G6" i="44"/>
  <c r="E36" i="117"/>
  <c r="K9" i="102"/>
  <c r="E42" i="110"/>
  <c r="J25" i="18"/>
  <c r="H19" i="44"/>
  <c r="E9" i="42"/>
  <c r="D84" i="119"/>
  <c r="F52" i="107"/>
  <c r="V15" i="102"/>
  <c r="I11" i="105"/>
  <c r="G74" i="128"/>
  <c r="F24" i="102"/>
  <c r="M24" i="42"/>
  <c r="D10" i="103"/>
  <c r="R18" i="103"/>
  <c r="C19" i="43"/>
  <c r="H7" i="18"/>
  <c r="D6" i="18"/>
  <c r="V6" i="102"/>
  <c r="M8" i="6"/>
  <c r="J25" i="113"/>
  <c r="E16" i="43"/>
  <c r="S18" i="102"/>
  <c r="G25" i="107"/>
  <c r="K8" i="43"/>
  <c r="E63" i="112"/>
  <c r="E60" i="115"/>
  <c r="I26" i="111"/>
  <c r="P17" i="102"/>
  <c r="I18" i="102"/>
  <c r="E61" i="109"/>
  <c r="H18" i="42"/>
  <c r="I14" i="102"/>
  <c r="J40" i="106"/>
  <c r="K12" i="102"/>
  <c r="E75" i="107"/>
  <c r="P14" i="13"/>
  <c r="I17" i="112"/>
  <c r="H7" i="105"/>
  <c r="M11" i="42"/>
  <c r="J36" i="12"/>
  <c r="D11" i="102"/>
  <c r="G69" i="107"/>
  <c r="E140" i="128"/>
  <c r="D8" i="43"/>
  <c r="I19" i="113"/>
  <c r="E164" i="128"/>
  <c r="D26" i="103"/>
  <c r="J23" i="109"/>
  <c r="J59" i="12"/>
  <c r="F49" i="107"/>
  <c r="H9" i="6"/>
  <c r="I51" i="119"/>
  <c r="I19" i="110"/>
  <c r="C5" i="111"/>
  <c r="E10" i="18"/>
  <c r="H11" i="115"/>
  <c r="E10" i="22"/>
  <c r="H21" i="43"/>
  <c r="V21" i="102"/>
  <c r="Q14" i="102"/>
  <c r="E28" i="22"/>
  <c r="K23" i="22"/>
  <c r="C38" i="114"/>
  <c r="J12" i="109"/>
  <c r="O25" i="103"/>
  <c r="E30" i="22"/>
  <c r="G13" i="22"/>
  <c r="I21" i="117"/>
  <c r="I45" i="12"/>
  <c r="H41" i="119"/>
  <c r="E92" i="128"/>
  <c r="E94" i="128"/>
  <c r="E35" i="128"/>
  <c r="G9" i="42"/>
  <c r="J17" i="109"/>
  <c r="I6" i="41"/>
  <c r="E21" i="42"/>
  <c r="S10" i="18"/>
  <c r="J20" i="112"/>
  <c r="C36" i="28"/>
  <c r="L17" i="96"/>
  <c r="I24" i="112"/>
  <c r="J22" i="112"/>
  <c r="L10" i="42"/>
  <c r="I9" i="106"/>
  <c r="T6" i="102"/>
  <c r="M11" i="105"/>
  <c r="G58" i="128"/>
  <c r="L29" i="22"/>
  <c r="K25" i="42"/>
  <c r="E60" i="116"/>
  <c r="I10" i="113"/>
  <c r="H19" i="110"/>
  <c r="F16" i="44"/>
  <c r="H8" i="42"/>
  <c r="M10" i="6"/>
  <c r="T20" i="103"/>
  <c r="H7" i="6"/>
  <c r="J23" i="114"/>
  <c r="J23" i="110"/>
  <c r="G82" i="128"/>
  <c r="R8" i="41"/>
  <c r="H72" i="119"/>
  <c r="F6" i="128"/>
  <c r="K6" i="42"/>
  <c r="G10" i="18"/>
  <c r="M20" i="43"/>
  <c r="B2" i="1"/>
  <c r="F6" i="102"/>
  <c r="H22" i="109"/>
  <c r="J12" i="110"/>
  <c r="L19" i="42"/>
  <c r="K18" i="42"/>
  <c r="K7" i="43"/>
  <c r="C5" i="115"/>
  <c r="H14" i="18"/>
  <c r="G22" i="128"/>
  <c r="H37" i="10"/>
  <c r="P8" i="13"/>
  <c r="J13" i="116"/>
  <c r="P7" i="13"/>
  <c r="I24" i="103"/>
  <c r="L7" i="106"/>
  <c r="F43" i="13"/>
  <c r="F15" i="42"/>
  <c r="I23" i="102"/>
  <c r="U6" i="18"/>
  <c r="I13" i="18"/>
  <c r="H10" i="112"/>
  <c r="H10" i="114"/>
  <c r="J28" i="113"/>
  <c r="E9" i="1"/>
  <c r="E172" i="128"/>
  <c r="G16" i="102"/>
  <c r="J13" i="117"/>
  <c r="C2" i="12"/>
  <c r="D8" i="103"/>
  <c r="J25" i="109"/>
  <c r="L32" i="22"/>
  <c r="H23" i="116"/>
  <c r="S14" i="18"/>
  <c r="S11" i="41"/>
  <c r="H22" i="113"/>
  <c r="E13" i="5"/>
  <c r="I12" i="111"/>
  <c r="H10" i="103"/>
  <c r="H21" i="114"/>
  <c r="J15" i="28"/>
  <c r="J25" i="44"/>
  <c r="J11" i="116"/>
  <c r="J11" i="102"/>
  <c r="I12" i="18"/>
  <c r="C2" i="102"/>
  <c r="I21" i="22"/>
  <c r="O22" i="102"/>
  <c r="F62" i="107"/>
  <c r="U24" i="18"/>
  <c r="I57" i="12"/>
  <c r="I28" i="22"/>
  <c r="H23" i="110"/>
  <c r="C42" i="115"/>
  <c r="E13" i="43"/>
  <c r="D42" i="5"/>
  <c r="J49" i="105"/>
  <c r="M52" i="105"/>
  <c r="I7" i="22"/>
  <c r="H22" i="116"/>
  <c r="K24" i="103"/>
  <c r="H15" i="109"/>
  <c r="F58" i="128"/>
  <c r="I15" i="112"/>
  <c r="H24" i="44"/>
  <c r="Q20" i="102"/>
  <c r="C38" i="109"/>
  <c r="P19" i="13"/>
  <c r="D18" i="103"/>
  <c r="U11" i="18"/>
  <c r="I7" i="106"/>
  <c r="M7" i="105"/>
  <c r="F27" i="5"/>
  <c r="C2" i="13"/>
  <c r="J19" i="102"/>
  <c r="H17" i="102"/>
  <c r="F70" i="107"/>
  <c r="L10" i="44"/>
  <c r="R11" i="102"/>
  <c r="H42" i="96"/>
  <c r="E12" i="44"/>
  <c r="J13" i="113"/>
  <c r="I7" i="41"/>
  <c r="D70" i="119"/>
  <c r="G7" i="44"/>
  <c r="I18" i="115"/>
  <c r="K51" i="12"/>
  <c r="H6" i="44"/>
  <c r="J14" i="111"/>
  <c r="J11" i="43"/>
  <c r="E64" i="110"/>
  <c r="F154" i="128"/>
  <c r="G179" i="128"/>
  <c r="F73" i="107"/>
  <c r="Q16" i="103"/>
  <c r="H21" i="113"/>
  <c r="H15" i="42"/>
  <c r="H16" i="44"/>
  <c r="I14" i="116"/>
  <c r="H11" i="105"/>
  <c r="F48" i="107"/>
  <c r="H38" i="10"/>
  <c r="T11" i="18"/>
  <c r="J12" i="112"/>
  <c r="X6" i="119"/>
  <c r="E108" i="128"/>
  <c r="K18" i="102"/>
  <c r="L11" i="105"/>
  <c r="D38" i="111"/>
  <c r="I12" i="116"/>
  <c r="I8" i="105"/>
  <c r="K15" i="43"/>
  <c r="R17" i="103"/>
  <c r="I22" i="28"/>
  <c r="R16" i="18"/>
  <c r="H7" i="102"/>
  <c r="G61" i="3"/>
  <c r="M22" i="42"/>
  <c r="D24" i="102"/>
  <c r="H44" i="13"/>
  <c r="E178" i="128"/>
  <c r="I19" i="42"/>
  <c r="Q13" i="102"/>
  <c r="U6" i="103"/>
  <c r="D17" i="103"/>
  <c r="E14" i="44"/>
  <c r="P13" i="18"/>
  <c r="K24" i="44"/>
  <c r="J22" i="113"/>
  <c r="H11" i="113"/>
  <c r="J24" i="112"/>
  <c r="E32" i="105"/>
  <c r="S7" i="102"/>
  <c r="F38" i="10"/>
  <c r="H11" i="109"/>
  <c r="P18" i="13"/>
  <c r="G173" i="128"/>
  <c r="G61" i="128"/>
  <c r="H8" i="18"/>
  <c r="G18" i="42"/>
  <c r="V25" i="18"/>
  <c r="E34" i="105"/>
  <c r="J48" i="105"/>
  <c r="H12" i="117"/>
  <c r="D42" i="112"/>
  <c r="Q42" i="96"/>
  <c r="I11" i="114"/>
  <c r="J19" i="44"/>
  <c r="K23" i="42"/>
  <c r="J28" i="115"/>
  <c r="M46" i="105"/>
  <c r="P12" i="102"/>
  <c r="J24" i="109"/>
  <c r="R15" i="103"/>
  <c r="K14" i="103"/>
  <c r="L21" i="44"/>
  <c r="R7" i="102"/>
  <c r="F7" i="79"/>
  <c r="G23" i="102"/>
  <c r="J20" i="114"/>
  <c r="L21" i="42"/>
  <c r="C5" i="112"/>
  <c r="P20" i="102"/>
  <c r="R9" i="103"/>
  <c r="E67" i="119"/>
  <c r="J22" i="115"/>
  <c r="Q7" i="103"/>
  <c r="J20" i="103"/>
  <c r="L52" i="105"/>
  <c r="H10" i="41"/>
  <c r="G65" i="3"/>
  <c r="V13" i="119"/>
  <c r="I12" i="103"/>
  <c r="E69" i="107"/>
  <c r="E53" i="119"/>
  <c r="K42" i="96"/>
  <c r="O17" i="103"/>
  <c r="E149" i="128"/>
  <c r="G89" i="128"/>
  <c r="T10" i="103"/>
  <c r="V23" i="103"/>
  <c r="F8" i="102"/>
  <c r="J23" i="43"/>
  <c r="H26" i="109"/>
  <c r="H22" i="42"/>
  <c r="R15" i="102"/>
  <c r="F16" i="42"/>
  <c r="I24" i="109"/>
  <c r="I13" i="114"/>
  <c r="J14" i="105"/>
  <c r="E38" i="115"/>
  <c r="Q25" i="102"/>
  <c r="H11" i="114"/>
  <c r="E20" i="42"/>
  <c r="H50" i="105"/>
  <c r="I15" i="116"/>
  <c r="J12" i="28"/>
  <c r="J40" i="12"/>
  <c r="E87" i="119"/>
  <c r="C46" i="13"/>
  <c r="K14" i="102"/>
  <c r="H26" i="42"/>
  <c r="H28" i="114"/>
  <c r="I8" i="18"/>
  <c r="E23" i="128"/>
  <c r="H66" i="119"/>
  <c r="K13" i="102"/>
  <c r="F93" i="128"/>
  <c r="U14" i="103"/>
  <c r="J23" i="42"/>
  <c r="J15" i="44"/>
  <c r="I23" i="113"/>
  <c r="L21" i="43"/>
  <c r="D42" i="109"/>
  <c r="D37" i="10"/>
  <c r="I56" i="119"/>
  <c r="I62" i="12"/>
  <c r="I13" i="115"/>
  <c r="E29" i="107"/>
  <c r="I22" i="112"/>
  <c r="F38" i="128"/>
  <c r="J12" i="102"/>
  <c r="M6" i="43"/>
  <c r="M8" i="105"/>
  <c r="D36" i="119"/>
  <c r="I31" i="22"/>
  <c r="G24" i="102"/>
  <c r="H15" i="111"/>
  <c r="G32" i="22"/>
  <c r="G30" i="22"/>
  <c r="K57" i="12"/>
  <c r="Q15" i="102"/>
  <c r="G14" i="102"/>
  <c r="K8" i="22"/>
  <c r="E60" i="28"/>
  <c r="F67" i="128"/>
  <c r="G99" i="128"/>
  <c r="O11" i="102"/>
  <c r="S23" i="18"/>
  <c r="I48" i="12"/>
  <c r="P24" i="102"/>
  <c r="J15" i="43"/>
  <c r="D12" i="1"/>
  <c r="E59" i="117"/>
  <c r="D8" i="18"/>
  <c r="K19" i="103"/>
  <c r="I34" i="12"/>
  <c r="I20" i="43"/>
  <c r="F11" i="41"/>
  <c r="P31" i="13"/>
  <c r="E7" i="103"/>
  <c r="G175" i="128"/>
  <c r="G11" i="128"/>
  <c r="G96" i="128"/>
  <c r="I7" i="6"/>
  <c r="H25" i="111"/>
  <c r="P9" i="102"/>
  <c r="J10" i="109"/>
  <c r="G7" i="42"/>
  <c r="R17" i="102"/>
  <c r="L14" i="43"/>
  <c r="P11" i="103"/>
  <c r="D6" i="43"/>
  <c r="E20" i="43"/>
  <c r="T17" i="103"/>
  <c r="L17" i="42"/>
  <c r="F47" i="105"/>
  <c r="E58" i="28"/>
  <c r="H11" i="112"/>
  <c r="E10" i="42"/>
  <c r="L8" i="105"/>
  <c r="J14" i="102"/>
  <c r="G123" i="128"/>
  <c r="M23" i="43"/>
  <c r="G13" i="43"/>
  <c r="E171" i="128"/>
  <c r="G140" i="128"/>
  <c r="L42" i="96"/>
  <c r="F34" i="128"/>
  <c r="G92" i="128"/>
  <c r="L15" i="43"/>
  <c r="F48" i="105"/>
  <c r="E58" i="128"/>
  <c r="G13" i="124"/>
  <c r="F123" i="124"/>
  <c r="E68" i="124"/>
  <c r="V19" i="103"/>
  <c r="H50" i="6"/>
  <c r="J24" i="43"/>
  <c r="E55" i="128"/>
  <c r="J25" i="28"/>
  <c r="I23" i="44"/>
  <c r="F108" i="128"/>
  <c r="E11" i="128"/>
  <c r="E118" i="124"/>
  <c r="F16" i="124"/>
  <c r="E19" i="124"/>
  <c r="E16" i="124"/>
  <c r="I58" i="12"/>
  <c r="O15" i="102"/>
  <c r="F62" i="128"/>
  <c r="E97" i="128"/>
  <c r="D38" i="10"/>
  <c r="E177" i="128"/>
  <c r="E137" i="128"/>
  <c r="H9" i="42"/>
  <c r="G10" i="124"/>
  <c r="G35" i="124"/>
  <c r="F124" i="124"/>
  <c r="G16" i="124"/>
  <c r="T24" i="18"/>
  <c r="F45" i="128"/>
  <c r="I34" i="119"/>
  <c r="F128" i="128"/>
  <c r="E17" i="128"/>
  <c r="H18" i="114"/>
  <c r="E30" i="128"/>
  <c r="F164" i="128"/>
  <c r="K17" i="42"/>
  <c r="G48" i="124"/>
  <c r="F68" i="124"/>
  <c r="G28" i="124"/>
  <c r="F111" i="124"/>
  <c r="P20" i="18"/>
  <c r="F73" i="124"/>
  <c r="F98" i="128"/>
  <c r="E150" i="128"/>
  <c r="F46" i="107"/>
  <c r="U23" i="18"/>
  <c r="E139" i="128"/>
  <c r="L24" i="43"/>
  <c r="D22" i="18"/>
  <c r="F28" i="124"/>
  <c r="F12" i="124"/>
  <c r="E33" i="124"/>
  <c r="E58" i="124"/>
  <c r="G122" i="124"/>
  <c r="E39" i="124"/>
  <c r="E14" i="128"/>
  <c r="E69" i="128"/>
  <c r="O20" i="102"/>
  <c r="G145" i="128"/>
  <c r="E44" i="128"/>
  <c r="I19" i="102"/>
  <c r="P16" i="13"/>
  <c r="F58" i="124"/>
  <c r="G80" i="124"/>
  <c r="G110" i="124"/>
  <c r="G72" i="124"/>
  <c r="F80" i="124"/>
  <c r="H9" i="102"/>
  <c r="G11" i="44"/>
  <c r="E157" i="128"/>
  <c r="G11" i="43"/>
  <c r="E24" i="128"/>
  <c r="F96" i="128"/>
  <c r="E25" i="22"/>
  <c r="F179" i="128"/>
  <c r="E106" i="128"/>
  <c r="E88" i="124"/>
  <c r="F51" i="124"/>
  <c r="G17" i="124"/>
  <c r="E44" i="124"/>
  <c r="G138" i="128"/>
  <c r="H26" i="117"/>
  <c r="G122" i="128"/>
  <c r="F81" i="128"/>
  <c r="E13" i="10"/>
  <c r="E95" i="128"/>
  <c r="E102" i="128"/>
  <c r="L12" i="22"/>
  <c r="F53" i="124"/>
  <c r="G56" i="124"/>
  <c r="F37" i="124"/>
  <c r="E84" i="124"/>
  <c r="E8" i="5"/>
  <c r="E79" i="119"/>
  <c r="R13" i="103"/>
  <c r="E11" i="44"/>
  <c r="K20" i="42"/>
  <c r="H21" i="42"/>
  <c r="I22" i="102"/>
  <c r="V18" i="18"/>
  <c r="I39" i="12"/>
  <c r="H17" i="44"/>
  <c r="Q15" i="18"/>
  <c r="G14" i="42"/>
  <c r="P9" i="13"/>
  <c r="I10" i="116"/>
  <c r="G27" i="22"/>
  <c r="J9" i="106"/>
  <c r="D28" i="5"/>
  <c r="J13" i="44"/>
  <c r="G32" i="107"/>
  <c r="H8" i="105"/>
  <c r="C42" i="109"/>
  <c r="E24" i="102"/>
  <c r="G37" i="128"/>
  <c r="E23" i="18"/>
  <c r="E64" i="113"/>
  <c r="E61" i="128"/>
  <c r="E166" i="128"/>
  <c r="M21" i="43"/>
  <c r="E48" i="128"/>
  <c r="G36" i="128"/>
  <c r="E20" i="102"/>
  <c r="K7" i="44"/>
  <c r="F115" i="124"/>
  <c r="G55" i="124"/>
  <c r="G25" i="124"/>
  <c r="F122" i="124"/>
  <c r="C4" i="22"/>
  <c r="G38" i="128"/>
  <c r="I44" i="12"/>
  <c r="E22" i="128"/>
  <c r="G24" i="128"/>
  <c r="T23" i="18"/>
  <c r="G50" i="128"/>
  <c r="E43" i="128"/>
  <c r="G123" i="124"/>
  <c r="G117" i="124"/>
  <c r="G94" i="124"/>
  <c r="F113" i="124"/>
  <c r="E167" i="128"/>
  <c r="J14" i="42"/>
  <c r="F104" i="128"/>
  <c r="D181" i="128"/>
  <c r="R14" i="18"/>
  <c r="O13" i="102"/>
  <c r="E123" i="128"/>
  <c r="F11" i="128"/>
  <c r="E77" i="124"/>
  <c r="E46" i="124"/>
  <c r="E100" i="124"/>
  <c r="G116" i="124"/>
  <c r="E32" i="107"/>
  <c r="H18" i="116"/>
  <c r="F60" i="107"/>
  <c r="E153" i="128"/>
  <c r="F28" i="128"/>
  <c r="S11" i="103"/>
  <c r="E141" i="128"/>
  <c r="F171" i="128"/>
  <c r="L30" i="22"/>
  <c r="G36" i="124"/>
  <c r="E36" i="124"/>
  <c r="E80" i="124"/>
  <c r="F87" i="124"/>
  <c r="J10" i="102"/>
  <c r="K46" i="106"/>
  <c r="V20" i="103"/>
  <c r="G34" i="128"/>
  <c r="F48" i="6"/>
  <c r="H22" i="102"/>
  <c r="G14" i="128"/>
  <c r="F120" i="128"/>
  <c r="H47" i="6"/>
  <c r="G70" i="124"/>
  <c r="G68" i="124"/>
  <c r="F112" i="124"/>
  <c r="G18" i="124"/>
  <c r="G119" i="124"/>
  <c r="F119" i="124"/>
  <c r="F92" i="128"/>
  <c r="F44" i="128"/>
  <c r="K20" i="22"/>
  <c r="J50" i="12"/>
  <c r="G6" i="128"/>
  <c r="G6" i="102"/>
  <c r="S6" i="41"/>
  <c r="E35" i="124"/>
  <c r="G51" i="124"/>
  <c r="F52" i="124"/>
  <c r="F94" i="124"/>
  <c r="F39" i="124"/>
  <c r="F66" i="124"/>
  <c r="F142" i="128"/>
  <c r="E67" i="128"/>
  <c r="J16" i="18"/>
  <c r="E89" i="128"/>
  <c r="F169" i="128"/>
  <c r="I22" i="110"/>
  <c r="G178" i="128"/>
  <c r="G46" i="128"/>
  <c r="E47" i="124"/>
  <c r="F125" i="124"/>
  <c r="F74" i="124"/>
  <c r="G63" i="124"/>
  <c r="H19" i="102"/>
  <c r="R10" i="18"/>
  <c r="E148" i="128"/>
  <c r="G120" i="128"/>
  <c r="D8" i="41"/>
  <c r="E15" i="128"/>
  <c r="F97" i="128"/>
  <c r="J47" i="6"/>
  <c r="G57" i="124"/>
  <c r="E54" i="124"/>
  <c r="F35" i="124"/>
  <c r="F18" i="124"/>
  <c r="I23" i="110"/>
  <c r="K8" i="42"/>
  <c r="I66" i="119"/>
  <c r="O10" i="41"/>
  <c r="E21" i="103"/>
  <c r="M20" i="44"/>
  <c r="G106" i="124"/>
  <c r="F106" i="124"/>
  <c r="E38" i="111"/>
  <c r="J22" i="111"/>
  <c r="F51" i="105"/>
  <c r="F13" i="10"/>
  <c r="S13" i="102"/>
  <c r="H16" i="102"/>
  <c r="L16" i="43"/>
  <c r="L43" i="106"/>
  <c r="H12" i="105"/>
  <c r="O16" i="18"/>
  <c r="G15" i="102"/>
  <c r="G8" i="42"/>
  <c r="I14" i="113"/>
  <c r="F17" i="43"/>
  <c r="F11" i="103"/>
  <c r="J12" i="117"/>
  <c r="E156" i="128"/>
  <c r="E9" i="43"/>
  <c r="J28" i="28"/>
  <c r="E168" i="128"/>
  <c r="G142" i="128"/>
  <c r="E17" i="18"/>
  <c r="I17" i="22"/>
  <c r="G40" i="128"/>
  <c r="K9" i="6"/>
  <c r="K6" i="18"/>
  <c r="G90" i="124"/>
  <c r="G39" i="124"/>
  <c r="E14" i="124"/>
  <c r="G53" i="124"/>
  <c r="J25" i="110"/>
  <c r="I24" i="28"/>
  <c r="I28" i="110"/>
  <c r="E23" i="42"/>
  <c r="K10" i="102"/>
  <c r="E15" i="18"/>
  <c r="I32" i="22"/>
  <c r="D15" i="18"/>
  <c r="E17" i="42"/>
  <c r="J25" i="117"/>
  <c r="I15" i="22"/>
  <c r="U12" i="102"/>
  <c r="I25" i="112"/>
  <c r="J43" i="12"/>
  <c r="H15" i="28"/>
  <c r="Q9" i="18"/>
  <c r="F14" i="128"/>
  <c r="H25" i="113"/>
  <c r="H15" i="114"/>
  <c r="F18" i="42"/>
  <c r="E18" i="128"/>
  <c r="F146" i="128"/>
  <c r="D11" i="103"/>
  <c r="F43" i="128"/>
  <c r="F35" i="128"/>
  <c r="J23" i="103"/>
  <c r="F56" i="124"/>
  <c r="G125" i="124"/>
  <c r="G87" i="124"/>
  <c r="E116" i="124"/>
  <c r="F82" i="128"/>
  <c r="E80" i="128"/>
  <c r="F19" i="107"/>
  <c r="F39" i="128"/>
  <c r="E105" i="128"/>
  <c r="T12" i="102"/>
  <c r="I22" i="111"/>
  <c r="G19" i="124"/>
  <c r="E57" i="124"/>
  <c r="E110" i="124"/>
  <c r="F67" i="124"/>
  <c r="F72" i="124"/>
  <c r="I67" i="119"/>
  <c r="F103" i="128"/>
  <c r="P19" i="102"/>
  <c r="G115" i="128"/>
  <c r="F161" i="128"/>
  <c r="T7" i="103"/>
  <c r="G62" i="128"/>
  <c r="E163" i="128"/>
  <c r="G44" i="124"/>
  <c r="G67" i="124"/>
  <c r="G54" i="124"/>
  <c r="G112" i="124"/>
  <c r="E29" i="124"/>
  <c r="D42" i="114"/>
  <c r="F157" i="128"/>
  <c r="F9" i="79"/>
  <c r="G150" i="128"/>
  <c r="C3" i="1"/>
  <c r="L49" i="6"/>
  <c r="E170" i="128"/>
  <c r="E107" i="128"/>
  <c r="E123" i="124"/>
  <c r="G113" i="124"/>
  <c r="F65" i="124"/>
  <c r="E52" i="124"/>
  <c r="J8" i="106"/>
  <c r="G16" i="42"/>
  <c r="P13" i="13"/>
  <c r="F49" i="128"/>
  <c r="G154" i="128"/>
  <c r="E17" i="102"/>
  <c r="G155" i="128"/>
  <c r="E62" i="128"/>
  <c r="Q23" i="18"/>
  <c r="G59" i="124"/>
  <c r="E48" i="124"/>
  <c r="E81" i="124"/>
  <c r="G50" i="124"/>
  <c r="G51" i="119"/>
  <c r="E146" i="128"/>
  <c r="K22" i="42"/>
  <c r="E29" i="128"/>
  <c r="G68" i="128"/>
  <c r="L47" i="105"/>
  <c r="E40" i="128"/>
  <c r="E118" i="128"/>
  <c r="I19" i="103"/>
  <c r="G52" i="124"/>
  <c r="F34" i="124"/>
  <c r="F47" i="124"/>
  <c r="E114" i="124"/>
  <c r="F14" i="43"/>
  <c r="V23" i="18"/>
  <c r="F68" i="128"/>
  <c r="G108" i="128"/>
  <c r="D19" i="103"/>
  <c r="C38" i="113"/>
  <c r="G148" i="128"/>
  <c r="G13" i="5"/>
  <c r="P5" i="13"/>
  <c r="F118" i="124"/>
  <c r="E83" i="124"/>
  <c r="F26" i="124"/>
  <c r="F14" i="124"/>
  <c r="G124" i="124"/>
  <c r="P27" i="13"/>
  <c r="G176" i="128"/>
  <c r="H19" i="116"/>
  <c r="F61" i="128"/>
  <c r="E37" i="128"/>
  <c r="M7" i="6"/>
  <c r="G177" i="128"/>
  <c r="E162" i="128"/>
  <c r="E40" i="124"/>
  <c r="E96" i="124"/>
  <c r="F110" i="124"/>
  <c r="F57" i="124"/>
  <c r="I20" i="115"/>
  <c r="E35" i="119"/>
  <c r="E74" i="107"/>
  <c r="Q24" i="103"/>
  <c r="U14" i="102"/>
  <c r="E83" i="119"/>
  <c r="J11" i="111"/>
  <c r="O18" i="103"/>
  <c r="M9" i="44"/>
  <c r="R8" i="18"/>
  <c r="I42" i="119"/>
  <c r="F55" i="128"/>
  <c r="S17" i="18"/>
  <c r="I6" i="18"/>
  <c r="I38" i="10"/>
  <c r="I18" i="112"/>
  <c r="J10" i="105"/>
  <c r="H10" i="18"/>
  <c r="F25" i="103"/>
  <c r="M8" i="42"/>
  <c r="J24" i="110"/>
  <c r="I20" i="109"/>
  <c r="E101" i="128"/>
  <c r="G165" i="128"/>
  <c r="F129" i="128"/>
  <c r="E12" i="1"/>
  <c r="F172" i="128"/>
  <c r="E83" i="128"/>
  <c r="H12" i="28"/>
  <c r="G69" i="128"/>
  <c r="G44" i="128"/>
  <c r="F13" i="102"/>
  <c r="E12" i="124"/>
  <c r="F48" i="124"/>
  <c r="F97" i="124"/>
  <c r="L41" i="106"/>
  <c r="G166" i="128"/>
  <c r="F131" i="128"/>
  <c r="E37" i="107"/>
  <c r="H14" i="105"/>
  <c r="E31" i="128"/>
  <c r="G128" i="128"/>
  <c r="I28" i="109"/>
  <c r="F121" i="124"/>
  <c r="G89" i="124"/>
  <c r="G24" i="124"/>
  <c r="G46" i="124"/>
  <c r="F90" i="124"/>
  <c r="G141" i="128"/>
  <c r="G81" i="128"/>
  <c r="Q26" i="102"/>
  <c r="G172" i="128"/>
  <c r="G132" i="128"/>
  <c r="T19" i="102"/>
  <c r="E62" i="113"/>
  <c r="F27" i="124"/>
  <c r="E112" i="124"/>
  <c r="E73" i="124"/>
  <c r="G120" i="124"/>
  <c r="E51" i="124"/>
  <c r="M11" i="106"/>
  <c r="K26" i="103"/>
  <c r="F47" i="128"/>
  <c r="O6" i="102"/>
  <c r="F177" i="128"/>
  <c r="E81" i="128"/>
  <c r="D21" i="43"/>
  <c r="E72" i="128"/>
  <c r="E155" i="128"/>
  <c r="F81" i="124"/>
  <c r="E117" i="124"/>
  <c r="G111" i="124"/>
  <c r="E32" i="124"/>
  <c r="F29" i="124"/>
  <c r="F15" i="128"/>
  <c r="R13" i="18"/>
  <c r="L15" i="96"/>
  <c r="F17" i="128"/>
  <c r="P7" i="41"/>
  <c r="H28" i="28"/>
  <c r="F16" i="128"/>
  <c r="G30" i="128"/>
  <c r="E24" i="124"/>
  <c r="F55" i="124"/>
  <c r="E53" i="124"/>
  <c r="E119" i="124"/>
  <c r="K9" i="106"/>
  <c r="F21" i="107"/>
  <c r="H24" i="102"/>
  <c r="F178" i="128"/>
  <c r="E126" i="128"/>
  <c r="D10" i="1"/>
  <c r="F153" i="128"/>
  <c r="F73" i="128"/>
  <c r="J18" i="113"/>
  <c r="E87" i="124"/>
  <c r="F83" i="124"/>
  <c r="F62" i="124"/>
  <c r="E102" i="124"/>
  <c r="S16" i="102"/>
  <c r="J43" i="106"/>
  <c r="H26" i="44"/>
  <c r="G118" i="128"/>
  <c r="F148" i="128"/>
  <c r="E64" i="114"/>
  <c r="F132" i="128"/>
  <c r="F83" i="128"/>
  <c r="E11" i="1"/>
  <c r="G37" i="124"/>
  <c r="E89" i="124"/>
  <c r="F10" i="124"/>
  <c r="G83" i="124"/>
  <c r="I8" i="106"/>
  <c r="G87" i="128"/>
  <c r="E38" i="128"/>
  <c r="E38" i="114"/>
  <c r="F23" i="128"/>
  <c r="E45" i="128"/>
  <c r="E13" i="44"/>
  <c r="J61" i="12"/>
  <c r="E93" i="128"/>
  <c r="K11" i="42"/>
  <c r="D20" i="43"/>
  <c r="V10" i="102"/>
  <c r="G100" i="128"/>
  <c r="R12" i="103"/>
  <c r="G8" i="43"/>
  <c r="G18" i="43"/>
  <c r="G59" i="107"/>
  <c r="I26" i="115"/>
  <c r="I10" i="22"/>
  <c r="H22" i="43"/>
  <c r="G21" i="18"/>
  <c r="I19" i="117"/>
  <c r="F8" i="42"/>
  <c r="G121" i="128"/>
  <c r="E88" i="128"/>
  <c r="M49" i="6"/>
  <c r="H19" i="18"/>
  <c r="F59" i="128"/>
  <c r="G129" i="128"/>
  <c r="E27" i="22"/>
  <c r="D9" i="1"/>
  <c r="G146" i="128"/>
  <c r="E154" i="128"/>
  <c r="E113" i="124"/>
  <c r="F46" i="124"/>
  <c r="G77" i="124"/>
  <c r="R25" i="102"/>
  <c r="G64" i="3"/>
  <c r="E119" i="128"/>
  <c r="G65" i="128"/>
  <c r="F16" i="102"/>
  <c r="E175" i="128"/>
  <c r="E158" i="128"/>
  <c r="F50" i="6"/>
  <c r="E5" i="124"/>
  <c r="F70" i="124"/>
  <c r="F63" i="124"/>
  <c r="E94" i="124"/>
  <c r="D17" i="44"/>
  <c r="G88" i="128"/>
  <c r="G168" i="128"/>
  <c r="K16" i="103"/>
  <c r="G46" i="107"/>
  <c r="F162" i="128"/>
  <c r="U11" i="103"/>
  <c r="J47" i="105"/>
  <c r="G64" i="124"/>
  <c r="G33" i="124"/>
  <c r="E60" i="124"/>
  <c r="E111" i="124"/>
  <c r="E120" i="124"/>
  <c r="M40" i="106"/>
  <c r="G21" i="128"/>
  <c r="F41" i="128"/>
  <c r="F12" i="43"/>
  <c r="G104" i="128"/>
  <c r="G103" i="128"/>
  <c r="H13" i="43"/>
  <c r="K20" i="103"/>
  <c r="G60" i="124"/>
  <c r="F36" i="124"/>
  <c r="E17" i="124"/>
  <c r="G71" i="124"/>
  <c r="G85" i="124"/>
  <c r="G29" i="124"/>
  <c r="H67" i="119"/>
  <c r="G158" i="128"/>
  <c r="H18" i="102"/>
  <c r="G72" i="128"/>
  <c r="E121" i="128"/>
  <c r="I19" i="43"/>
  <c r="F155" i="128"/>
  <c r="F46" i="128"/>
  <c r="F95" i="124"/>
  <c r="E26" i="124"/>
  <c r="F85" i="124"/>
  <c r="F33" i="124"/>
  <c r="F23" i="107"/>
  <c r="E129" i="128"/>
  <c r="D20" i="44"/>
  <c r="E13" i="22"/>
  <c r="G119" i="128"/>
  <c r="K13" i="18"/>
  <c r="R19" i="102"/>
  <c r="F170" i="128"/>
  <c r="G163" i="128"/>
  <c r="F117" i="124"/>
  <c r="G45" i="124"/>
  <c r="E61" i="124"/>
  <c r="G88" i="124"/>
  <c r="J42" i="106"/>
  <c r="E47" i="128"/>
  <c r="H52" i="105"/>
  <c r="E179" i="128"/>
  <c r="F100" i="128"/>
  <c r="G16" i="22"/>
  <c r="G47" i="128"/>
  <c r="F99" i="128"/>
  <c r="H7" i="44"/>
  <c r="F5" i="124"/>
  <c r="G62" i="124"/>
  <c r="F69" i="124"/>
  <c r="D135" i="124"/>
  <c r="L16" i="22"/>
  <c r="F105" i="128"/>
  <c r="F107" i="128"/>
  <c r="H6" i="103"/>
  <c r="F30" i="128"/>
  <c r="F95" i="128"/>
  <c r="I11" i="41"/>
  <c r="I16" i="111"/>
  <c r="E27" i="124"/>
  <c r="F77" i="124"/>
  <c r="F102" i="124"/>
  <c r="F89" i="124"/>
  <c r="J16" i="42"/>
  <c r="J28" i="109"/>
  <c r="J8" i="43"/>
  <c r="I25" i="43"/>
  <c r="H9" i="41"/>
  <c r="H25" i="18"/>
  <c r="R21" i="102"/>
  <c r="G104" i="124"/>
  <c r="F105" i="124"/>
  <c r="F87" i="128"/>
  <c r="K11" i="43"/>
  <c r="E120" i="128"/>
  <c r="I21" i="116"/>
  <c r="J11" i="109"/>
  <c r="I8" i="103"/>
  <c r="F65" i="128"/>
  <c r="E50" i="107"/>
  <c r="K10" i="43"/>
  <c r="E32" i="22"/>
  <c r="L28" i="22"/>
  <c r="G20" i="107"/>
  <c r="I33" i="22"/>
  <c r="E6" i="44"/>
  <c r="J21" i="44"/>
  <c r="P22" i="13"/>
  <c r="I23" i="43"/>
  <c r="G170" i="128"/>
  <c r="F163" i="128"/>
  <c r="F22" i="128"/>
  <c r="I18" i="114"/>
  <c r="F24" i="18"/>
  <c r="F60" i="128"/>
  <c r="E10" i="5"/>
  <c r="F22" i="18"/>
  <c r="G35" i="128"/>
  <c r="F149" i="128"/>
  <c r="E38" i="124"/>
  <c r="G102" i="124"/>
  <c r="G115" i="124"/>
  <c r="G41" i="128"/>
  <c r="H10" i="111"/>
  <c r="D182" i="128"/>
  <c r="E142" i="128"/>
  <c r="H19" i="113"/>
  <c r="E130" i="128"/>
  <c r="E50" i="128"/>
  <c r="S23" i="103"/>
  <c r="E59" i="124"/>
  <c r="F101" i="124"/>
  <c r="G38" i="124"/>
  <c r="E86" i="124"/>
  <c r="V24" i="102"/>
  <c r="E87" i="128"/>
  <c r="G94" i="128"/>
  <c r="G11" i="5"/>
  <c r="E16" i="42"/>
  <c r="E28" i="128"/>
  <c r="F42" i="128"/>
  <c r="P18" i="18"/>
  <c r="F120" i="124"/>
  <c r="F41" i="124"/>
  <c r="G101" i="124"/>
  <c r="G82" i="124"/>
  <c r="E37" i="124"/>
  <c r="E55" i="124"/>
  <c r="G59" i="128"/>
  <c r="G93" i="128"/>
  <c r="G64" i="107"/>
  <c r="J11" i="117"/>
  <c r="F139" i="128"/>
  <c r="Q10" i="41"/>
  <c r="I25" i="109"/>
  <c r="F19" i="124"/>
  <c r="E64" i="124"/>
  <c r="G81" i="124"/>
  <c r="E82" i="124"/>
  <c r="G97" i="124"/>
  <c r="F45" i="124"/>
  <c r="H26" i="114"/>
  <c r="F80" i="128"/>
  <c r="P17" i="13"/>
  <c r="G174" i="128"/>
  <c r="F37" i="128"/>
  <c r="O24" i="18"/>
  <c r="G95" i="128"/>
  <c r="E66" i="128"/>
  <c r="E45" i="124"/>
  <c r="E90" i="124"/>
  <c r="F24" i="124"/>
  <c r="F54" i="124"/>
  <c r="H43" i="106"/>
  <c r="H28" i="113"/>
  <c r="F167" i="128"/>
  <c r="M7" i="43"/>
  <c r="G102" i="128"/>
  <c r="E169" i="128"/>
  <c r="F9" i="43"/>
  <c r="G29" i="128"/>
  <c r="G130" i="128"/>
  <c r="G73" i="124"/>
  <c r="E25" i="124"/>
  <c r="E115" i="124"/>
  <c r="G100" i="124"/>
  <c r="E27" i="106"/>
  <c r="U13" i="103"/>
  <c r="D14" i="102"/>
  <c r="E145" i="128"/>
  <c r="G45" i="128"/>
  <c r="C40" i="117"/>
  <c r="F176" i="128"/>
  <c r="E161" i="128"/>
  <c r="H17" i="28"/>
  <c r="F93" i="124"/>
  <c r="F15" i="124"/>
  <c r="E10" i="124"/>
  <c r="G58" i="124"/>
  <c r="D136" i="124"/>
  <c r="F48" i="128"/>
  <c r="G23" i="128"/>
  <c r="E24" i="18"/>
  <c r="I13" i="44"/>
  <c r="G97" i="128"/>
  <c r="D36" i="28"/>
  <c r="P29" i="13"/>
  <c r="E69" i="124"/>
  <c r="F116" i="124"/>
  <c r="F25" i="124"/>
  <c r="E93" i="124"/>
  <c r="G15" i="124"/>
  <c r="V10" i="119"/>
  <c r="O9" i="18"/>
  <c r="H18" i="43"/>
  <c r="I13" i="103"/>
  <c r="E12" i="10"/>
  <c r="J10" i="42"/>
  <c r="F107" i="124"/>
  <c r="G29" i="22"/>
  <c r="J22" i="44"/>
  <c r="E29" i="106"/>
  <c r="H9" i="105"/>
  <c r="G17" i="18"/>
  <c r="Q6" i="18"/>
  <c r="I16" i="43"/>
  <c r="L21" i="96"/>
  <c r="E26" i="44"/>
  <c r="C42" i="113"/>
  <c r="E37" i="45"/>
  <c r="F18" i="79"/>
  <c r="O7" i="102"/>
  <c r="J14" i="110"/>
  <c r="J15" i="117"/>
  <c r="G167" i="128"/>
  <c r="P15" i="13"/>
  <c r="E74" i="128"/>
  <c r="K24" i="22"/>
  <c r="G107" i="128"/>
  <c r="F37" i="107"/>
  <c r="F29" i="128"/>
  <c r="F122" i="128"/>
  <c r="P12" i="13"/>
  <c r="F69" i="128"/>
  <c r="G171" i="128"/>
  <c r="E67" i="124"/>
  <c r="F40" i="124"/>
  <c r="E28" i="124"/>
  <c r="F31" i="128"/>
  <c r="P23" i="18"/>
  <c r="G156" i="128"/>
  <c r="E131" i="128"/>
  <c r="I15" i="43"/>
  <c r="J23" i="102"/>
  <c r="F36" i="128"/>
  <c r="G137" i="128"/>
  <c r="F60" i="124"/>
  <c r="F59" i="124"/>
  <c r="E13" i="124"/>
  <c r="E95" i="124"/>
  <c r="M15" i="44"/>
  <c r="I46" i="12"/>
  <c r="F150" i="128"/>
  <c r="G16" i="128"/>
  <c r="P21" i="13"/>
  <c r="F173" i="128"/>
  <c r="F158" i="128"/>
  <c r="G19" i="103"/>
  <c r="E34" i="124"/>
  <c r="G121" i="124"/>
  <c r="E85" i="124"/>
  <c r="E18" i="124"/>
  <c r="R7" i="103"/>
  <c r="E31" i="106"/>
  <c r="E96" i="128"/>
  <c r="F121" i="128"/>
  <c r="H19" i="28"/>
  <c r="U17" i="103"/>
  <c r="G55" i="128"/>
  <c r="F25" i="128"/>
  <c r="J41" i="12"/>
  <c r="G69" i="124"/>
  <c r="E125" i="124"/>
  <c r="G27" i="124"/>
  <c r="G32" i="124"/>
  <c r="E97" i="124"/>
  <c r="G14" i="124"/>
  <c r="E98" i="128"/>
  <c r="E34" i="128"/>
  <c r="F64" i="107"/>
  <c r="G48" i="128"/>
  <c r="G126" i="128"/>
  <c r="E78" i="107"/>
  <c r="I10" i="6"/>
  <c r="G61" i="124"/>
  <c r="F13" i="124"/>
  <c r="F44" i="124"/>
  <c r="E122" i="124"/>
  <c r="E65" i="124"/>
  <c r="H54" i="119"/>
  <c r="G66" i="128"/>
  <c r="G43" i="128"/>
  <c r="J15" i="115"/>
  <c r="F21" i="128"/>
  <c r="E115" i="128"/>
  <c r="K20" i="43"/>
  <c r="E176" i="128"/>
  <c r="F50" i="128"/>
  <c r="G26" i="124"/>
  <c r="G40" i="124"/>
  <c r="F38" i="124"/>
  <c r="G34" i="124"/>
  <c r="F64" i="124"/>
  <c r="F74" i="128"/>
  <c r="H13" i="103"/>
  <c r="O19" i="18"/>
  <c r="E59" i="128"/>
  <c r="O7" i="41"/>
  <c r="J23" i="28"/>
  <c r="E147" i="128"/>
  <c r="E73" i="128"/>
  <c r="F71" i="124"/>
  <c r="F114" i="124"/>
  <c r="E15" i="124"/>
  <c r="E72" i="124"/>
  <c r="R8" i="102"/>
  <c r="F119" i="128"/>
  <c r="E56" i="124"/>
  <c r="H10" i="6"/>
  <c r="H11" i="106"/>
  <c r="G169" i="128"/>
  <c r="G157" i="128"/>
  <c r="F82" i="124"/>
  <c r="E39" i="128"/>
  <c r="F43" i="106"/>
  <c r="E63" i="124"/>
  <c r="G164" i="128"/>
  <c r="G60" i="128"/>
  <c r="E101" i="124"/>
  <c r="G96" i="124"/>
  <c r="G25" i="18"/>
  <c r="H11" i="42"/>
  <c r="G107" i="124"/>
  <c r="F20" i="124"/>
  <c r="E64" i="115"/>
  <c r="E106" i="124"/>
  <c r="F89" i="128"/>
  <c r="D11" i="1"/>
  <c r="C4" i="1"/>
  <c r="E173" i="128"/>
  <c r="G74" i="124"/>
  <c r="K14" i="42"/>
  <c r="G149" i="128"/>
  <c r="F49" i="124"/>
  <c r="F94" i="128"/>
  <c r="E50" i="124"/>
  <c r="F106" i="128"/>
  <c r="F156" i="128"/>
  <c r="F50" i="124"/>
  <c r="H49" i="105"/>
  <c r="E68" i="128"/>
  <c r="G41" i="124"/>
  <c r="G47" i="124"/>
  <c r="E9" i="22"/>
  <c r="K33" i="22"/>
  <c r="E103" i="124"/>
  <c r="G103" i="124"/>
  <c r="I16" i="115"/>
  <c r="G20" i="124"/>
  <c r="V13" i="102"/>
  <c r="E84" i="128"/>
  <c r="G105" i="124"/>
  <c r="K21" i="43"/>
  <c r="E41" i="124"/>
  <c r="E165" i="128"/>
  <c r="F6" i="44"/>
  <c r="G12" i="124"/>
  <c r="H26" i="115"/>
  <c r="F6" i="42"/>
  <c r="D25" i="42"/>
  <c r="G42" i="128"/>
  <c r="G49" i="124"/>
  <c r="E104" i="128"/>
  <c r="J17" i="111"/>
  <c r="G84" i="124"/>
  <c r="G12" i="43"/>
  <c r="E12" i="103"/>
  <c r="S12" i="18"/>
  <c r="J15" i="116"/>
  <c r="E107" i="124"/>
  <c r="E20" i="124"/>
  <c r="G84" i="128"/>
  <c r="E100" i="128"/>
  <c r="G86" i="124"/>
  <c r="F127" i="128"/>
  <c r="F165" i="128"/>
  <c r="F17" i="124"/>
  <c r="G162" i="128"/>
  <c r="G29" i="107"/>
  <c r="E71" i="124"/>
  <c r="D43" i="13"/>
  <c r="E66" i="124"/>
  <c r="G139" i="128"/>
  <c r="P6" i="41"/>
  <c r="E74" i="124"/>
  <c r="I13" i="111"/>
  <c r="O21" i="103"/>
  <c r="C37" i="116"/>
  <c r="J8" i="6"/>
  <c r="E36" i="128"/>
  <c r="J6" i="43"/>
  <c r="E70" i="124"/>
  <c r="F145" i="128"/>
  <c r="G66" i="124"/>
  <c r="F75" i="128"/>
  <c r="J48" i="6"/>
  <c r="E121" i="124"/>
  <c r="E65" i="128"/>
  <c r="E124" i="124"/>
  <c r="I16" i="102"/>
  <c r="E82" i="128"/>
  <c r="G114" i="124"/>
  <c r="H10" i="113"/>
  <c r="I7" i="42"/>
  <c r="I16" i="110"/>
  <c r="E104" i="124"/>
  <c r="F88" i="128"/>
  <c r="F84" i="128"/>
  <c r="P25" i="18"/>
  <c r="F20" i="1"/>
  <c r="F32" i="124"/>
  <c r="C2" i="42"/>
  <c r="F54" i="119"/>
  <c r="Q21" i="102"/>
  <c r="E75" i="128"/>
  <c r="G65" i="124"/>
  <c r="F126" i="128"/>
  <c r="F138" i="128"/>
  <c r="G30" i="107"/>
  <c r="G98" i="128"/>
  <c r="F84" i="124"/>
  <c r="F10" i="79"/>
  <c r="G26" i="43"/>
  <c r="E105" i="124"/>
  <c r="C6" i="1"/>
  <c r="I14" i="115"/>
  <c r="J21" i="28"/>
  <c r="F86" i="124"/>
  <c r="I20" i="110"/>
  <c r="G101" i="128"/>
  <c r="F100" i="124"/>
  <c r="E10" i="1"/>
  <c r="E62" i="124"/>
  <c r="T26" i="18"/>
  <c r="Q26" i="18"/>
  <c r="F115" i="128"/>
  <c r="G5" i="124"/>
  <c r="F96" i="124"/>
  <c r="E23" i="43"/>
  <c r="H8" i="103"/>
  <c r="F104" i="124"/>
  <c r="G93" i="124"/>
  <c r="F141" i="128"/>
  <c r="E49" i="124"/>
  <c r="G67" i="128"/>
  <c r="K47" i="12"/>
  <c r="G95" i="124"/>
  <c r="N42" i="96"/>
  <c r="F88" i="124"/>
  <c r="E30" i="10"/>
  <c r="E19" i="43"/>
  <c r="I10" i="42"/>
  <c r="G118" i="124"/>
  <c r="F61" i="124"/>
  <c r="J12" i="43"/>
  <c r="G63" i="107"/>
  <c r="F103" i="124"/>
  <c r="E36" i="28"/>
  <c r="I13" i="110"/>
  <c r="C5" i="1"/>
  <c r="L51" i="105"/>
  <c r="M16" i="42"/>
  <c r="E114" i="119"/>
  <c r="E19" i="22"/>
  <c r="K32" i="22"/>
  <c r="F18" i="107"/>
  <c r="H56" i="119"/>
  <c r="H15" i="102"/>
  <c r="K15" i="44"/>
  <c r="J23" i="44"/>
  <c r="D30" i="10"/>
  <c r="T25" i="102"/>
  <c r="F8" i="79"/>
  <c r="H10" i="102"/>
  <c r="I13" i="43"/>
  <c r="I36" i="119"/>
  <c r="V24" i="103"/>
  <c r="O16" i="102"/>
  <c r="E11" i="43"/>
  <c r="P14" i="103"/>
  <c r="D19" i="102"/>
  <c r="E8" i="102"/>
  <c r="V21" i="103"/>
  <c r="T18" i="18"/>
  <c r="D14" i="44"/>
  <c r="F7" i="42"/>
  <c r="U18" i="102"/>
  <c r="J10" i="43"/>
  <c r="F23" i="102"/>
  <c r="E7" i="79"/>
  <c r="E19" i="42"/>
  <c r="K6" i="44"/>
  <c r="F16" i="103"/>
  <c r="L12" i="43"/>
  <c r="H19" i="103"/>
  <c r="G34" i="119"/>
  <c r="K9" i="44"/>
  <c r="E21" i="44"/>
  <c r="T26" i="103"/>
  <c r="E6" i="43"/>
  <c r="Q7" i="18"/>
  <c r="G41" i="119"/>
  <c r="R26" i="18"/>
  <c r="K17" i="43"/>
  <c r="Q18" i="103"/>
  <c r="S6" i="102"/>
  <c r="H20" i="43"/>
  <c r="F18" i="103"/>
  <c r="G12" i="42"/>
  <c r="Q9" i="41"/>
  <c r="H21" i="112"/>
  <c r="M42" i="106"/>
  <c r="M8" i="106"/>
  <c r="I28" i="117"/>
  <c r="J17" i="117"/>
  <c r="P20" i="96" l="1"/>
  <c r="P23" i="96"/>
  <c r="P18" i="96"/>
  <c r="P22" i="96"/>
  <c r="P17" i="96"/>
  <c r="P24" i="96"/>
  <c r="P21" i="96"/>
  <c r="P19" i="96"/>
  <c r="E28" i="117"/>
  <c r="F28" i="117" s="1"/>
  <c r="D21" i="112"/>
  <c r="L19" i="103"/>
  <c r="L10" i="102"/>
  <c r="D33" i="10"/>
  <c r="L15" i="102"/>
  <c r="F19" i="22"/>
  <c r="E33" i="10"/>
  <c r="H47" i="12"/>
  <c r="G92" i="124"/>
  <c r="L8" i="103"/>
  <c r="F99" i="124"/>
  <c r="E14" i="115"/>
  <c r="F14" i="115" s="1"/>
  <c r="F125" i="128"/>
  <c r="F31" i="124"/>
  <c r="E16" i="110"/>
  <c r="F16" i="110" s="1"/>
  <c r="D10" i="113"/>
  <c r="M16" i="102"/>
  <c r="E64" i="128"/>
  <c r="F144" i="128"/>
  <c r="G8" i="6"/>
  <c r="D46" i="13"/>
  <c r="E46" i="13" s="1"/>
  <c r="E43" i="13"/>
  <c r="E45" i="13"/>
  <c r="D26" i="115"/>
  <c r="G11" i="124"/>
  <c r="E16" i="115"/>
  <c r="F16" i="115" s="1"/>
  <c r="F9" i="22"/>
  <c r="F11" i="1"/>
  <c r="E11" i="106"/>
  <c r="E10" i="6"/>
  <c r="L13" i="103"/>
  <c r="F20" i="128"/>
  <c r="F43" i="124"/>
  <c r="F10" i="6"/>
  <c r="G125" i="128"/>
  <c r="E33" i="128"/>
  <c r="G31" i="124"/>
  <c r="G41" i="12"/>
  <c r="D19" i="28"/>
  <c r="F46" i="12"/>
  <c r="G136" i="128"/>
  <c r="N23" i="102"/>
  <c r="E9" i="105"/>
  <c r="H29" i="22"/>
  <c r="M13" i="103"/>
  <c r="W10" i="119"/>
  <c r="Y10" i="119"/>
  <c r="E92" i="124"/>
  <c r="F92" i="124"/>
  <c r="D17" i="28"/>
  <c r="E160" i="128"/>
  <c r="E144" i="128"/>
  <c r="G99" i="124"/>
  <c r="D28" i="113"/>
  <c r="F23" i="124"/>
  <c r="F79" i="128"/>
  <c r="D26" i="114"/>
  <c r="E25" i="109"/>
  <c r="F25" i="109" s="1"/>
  <c r="E27" i="128"/>
  <c r="F11" i="5"/>
  <c r="E86" i="128"/>
  <c r="D19" i="113"/>
  <c r="D10" i="111"/>
  <c r="D10" i="5"/>
  <c r="E18" i="114"/>
  <c r="F18" i="114" s="1"/>
  <c r="J33" i="22"/>
  <c r="N28" i="22"/>
  <c r="F32" i="22"/>
  <c r="F64" i="128"/>
  <c r="M8" i="103"/>
  <c r="E21" i="116"/>
  <c r="F21" i="116" s="1"/>
  <c r="F86" i="128"/>
  <c r="L25" i="18"/>
  <c r="L9" i="41"/>
  <c r="E16" i="111"/>
  <c r="F16" i="111" s="1"/>
  <c r="M11" i="41"/>
  <c r="L6" i="103"/>
  <c r="N16" i="22"/>
  <c r="H16" i="22"/>
  <c r="F13" i="22"/>
  <c r="G71" i="128"/>
  <c r="L18" i="102"/>
  <c r="G20" i="128"/>
  <c r="G64" i="128"/>
  <c r="K64" i="3"/>
  <c r="F9" i="1"/>
  <c r="F27" i="22"/>
  <c r="L19" i="18"/>
  <c r="E19" i="117"/>
  <c r="F19" i="117" s="1"/>
  <c r="J10" i="22"/>
  <c r="E26" i="115"/>
  <c r="F26" i="115" s="1"/>
  <c r="G61" i="12"/>
  <c r="G86" i="128"/>
  <c r="F8" i="106"/>
  <c r="G117" i="128"/>
  <c r="F152" i="128"/>
  <c r="F10" i="1"/>
  <c r="E125" i="128"/>
  <c r="L24" i="102"/>
  <c r="E23" i="124"/>
  <c r="D28" i="28"/>
  <c r="E31" i="124"/>
  <c r="E71" i="128"/>
  <c r="G23" i="124"/>
  <c r="E28" i="109"/>
  <c r="F28" i="109" s="1"/>
  <c r="E14" i="105"/>
  <c r="E11" i="124"/>
  <c r="D12" i="28"/>
  <c r="L10" i="18"/>
  <c r="G10" i="105"/>
  <c r="E18" i="112"/>
  <c r="F18" i="112" s="1"/>
  <c r="M6" i="18"/>
  <c r="F83" i="119"/>
  <c r="D19" i="116"/>
  <c r="F13" i="5"/>
  <c r="M19" i="103"/>
  <c r="E117" i="128"/>
  <c r="G8" i="106"/>
  <c r="G43" i="124"/>
  <c r="F160" i="128"/>
  <c r="E22" i="111"/>
  <c r="F22" i="111" s="1"/>
  <c r="E79" i="128"/>
  <c r="N23" i="103"/>
  <c r="D15" i="114"/>
  <c r="D25" i="113"/>
  <c r="F13" i="128"/>
  <c r="D15" i="28"/>
  <c r="G43" i="12"/>
  <c r="E25" i="112"/>
  <c r="F25" i="112" s="1"/>
  <c r="J15" i="22"/>
  <c r="J32" i="22"/>
  <c r="E28" i="110"/>
  <c r="F28" i="110" s="1"/>
  <c r="J17" i="22"/>
  <c r="E14" i="113"/>
  <c r="F14" i="113" s="1"/>
  <c r="E12" i="105"/>
  <c r="L16" i="102"/>
  <c r="G13" i="10"/>
  <c r="E23" i="110"/>
  <c r="F23" i="110" s="1"/>
  <c r="L19" i="102"/>
  <c r="E22" i="110"/>
  <c r="F22" i="110" s="1"/>
  <c r="N16" i="18"/>
  <c r="G50" i="12"/>
  <c r="F91" i="128"/>
  <c r="G13" i="128"/>
  <c r="L22" i="102"/>
  <c r="G33" i="128"/>
  <c r="N10" i="102"/>
  <c r="E79" i="124"/>
  <c r="N30" i="22"/>
  <c r="F27" i="128"/>
  <c r="E152" i="128"/>
  <c r="D18" i="116"/>
  <c r="E99" i="124"/>
  <c r="F44" i="12"/>
  <c r="E8" i="105"/>
  <c r="G9" i="106"/>
  <c r="H27" i="22"/>
  <c r="E10" i="116"/>
  <c r="F10" i="116" s="1"/>
  <c r="F39" i="12"/>
  <c r="M22" i="102"/>
  <c r="F79" i="119"/>
  <c r="D8" i="5"/>
  <c r="N12" i="22"/>
  <c r="D26" i="117"/>
  <c r="E43" i="124"/>
  <c r="F25" i="22"/>
  <c r="L9" i="102"/>
  <c r="F79" i="124"/>
  <c r="G79" i="124"/>
  <c r="M19" i="102"/>
  <c r="G144" i="128"/>
  <c r="E13" i="128"/>
  <c r="F11" i="124"/>
  <c r="D18" i="114"/>
  <c r="E136" i="128"/>
  <c r="D43" i="10"/>
  <c r="F58" i="12"/>
  <c r="E57" i="128"/>
  <c r="G91" i="128"/>
  <c r="F33" i="128"/>
  <c r="N14" i="102"/>
  <c r="D11" i="112"/>
  <c r="D25" i="111"/>
  <c r="F7" i="6"/>
  <c r="F12" i="1"/>
  <c r="F48" i="12"/>
  <c r="H57" i="12"/>
  <c r="H30" i="22"/>
  <c r="H32" i="22"/>
  <c r="D15" i="111"/>
  <c r="J31" i="22"/>
  <c r="N12" i="102"/>
  <c r="E22" i="112"/>
  <c r="F22" i="112" s="1"/>
  <c r="F62" i="12"/>
  <c r="D42" i="10"/>
  <c r="E23" i="113"/>
  <c r="F23" i="113" s="1"/>
  <c r="M8" i="18"/>
  <c r="D28" i="114"/>
  <c r="F87" i="119"/>
  <c r="G40" i="12"/>
  <c r="E15" i="116"/>
  <c r="F15" i="116" s="1"/>
  <c r="D11" i="114"/>
  <c r="G14" i="105"/>
  <c r="D26" i="109"/>
  <c r="M12" i="103"/>
  <c r="Y13" i="119"/>
  <c r="W13" i="119"/>
  <c r="K65" i="3"/>
  <c r="L10" i="41"/>
  <c r="N20" i="103"/>
  <c r="E11" i="114"/>
  <c r="F11" i="114" s="1"/>
  <c r="D12" i="117"/>
  <c r="L8" i="18"/>
  <c r="D11" i="109"/>
  <c r="F43" i="10"/>
  <c r="D11" i="113"/>
  <c r="I44" i="13"/>
  <c r="K61" i="3"/>
  <c r="G66" i="3"/>
  <c r="L7" i="102"/>
  <c r="E22" i="28"/>
  <c r="F22" i="28" s="1"/>
  <c r="F8" i="105"/>
  <c r="E12" i="116"/>
  <c r="F12" i="116" s="1"/>
  <c r="H43" i="10"/>
  <c r="E11" i="105"/>
  <c r="E14" i="116"/>
  <c r="F14" i="116" s="1"/>
  <c r="D21" i="113"/>
  <c r="H51" i="12"/>
  <c r="E18" i="115"/>
  <c r="F18" i="115" s="1"/>
  <c r="M7" i="41"/>
  <c r="L17" i="102"/>
  <c r="N19" i="102"/>
  <c r="E27" i="5"/>
  <c r="F7" i="106"/>
  <c r="E15" i="112"/>
  <c r="F15" i="112" s="1"/>
  <c r="F57" i="128"/>
  <c r="D15" i="109"/>
  <c r="D22" i="116"/>
  <c r="J7" i="22"/>
  <c r="D23" i="110"/>
  <c r="J28" i="22"/>
  <c r="F57" i="12"/>
  <c r="J21" i="22"/>
  <c r="M12" i="18"/>
  <c r="N11" i="102"/>
  <c r="D21" i="114"/>
  <c r="L10" i="103"/>
  <c r="E12" i="111"/>
  <c r="F12" i="111" s="1"/>
  <c r="D13" i="5"/>
  <c r="D22" i="113"/>
  <c r="D23" i="116"/>
  <c r="N32" i="22"/>
  <c r="D10" i="114"/>
  <c r="D10" i="112"/>
  <c r="M13" i="18"/>
  <c r="M23" i="102"/>
  <c r="G45" i="13"/>
  <c r="G43" i="13"/>
  <c r="F46" i="13"/>
  <c r="G46" i="13" s="1"/>
  <c r="M24" i="103"/>
  <c r="H42" i="10"/>
  <c r="L14" i="18"/>
  <c r="D22" i="109"/>
  <c r="E7" i="6"/>
  <c r="D19" i="110"/>
  <c r="E10" i="113"/>
  <c r="F10" i="113" s="1"/>
  <c r="N29" i="22"/>
  <c r="G57" i="128"/>
  <c r="F9" i="106"/>
  <c r="M6" i="41"/>
  <c r="E91" i="128"/>
  <c r="F45" i="12"/>
  <c r="E21" i="117"/>
  <c r="F21" i="117" s="1"/>
  <c r="H13" i="22"/>
  <c r="F30" i="22"/>
  <c r="F28" i="22"/>
  <c r="F10" i="22"/>
  <c r="D11" i="115"/>
  <c r="E19" i="110"/>
  <c r="F19" i="110" s="1"/>
  <c r="E9" i="6"/>
  <c r="G59" i="12"/>
  <c r="E19" i="113"/>
  <c r="F19" i="113" s="1"/>
  <c r="G36" i="12"/>
  <c r="E7" i="105"/>
  <c r="E17" i="112"/>
  <c r="F17" i="112" s="1"/>
  <c r="M14" i="102"/>
  <c r="M18" i="102"/>
  <c r="E26" i="111"/>
  <c r="F26" i="111" s="1"/>
  <c r="L7" i="18"/>
  <c r="F11" i="105"/>
  <c r="N25" i="18"/>
  <c r="G43" i="10"/>
  <c r="D14" i="115"/>
  <c r="M16" i="18"/>
  <c r="E17" i="111"/>
  <c r="F17" i="111" s="1"/>
  <c r="E14" i="111"/>
  <c r="F14" i="111" s="1"/>
  <c r="D10" i="109"/>
  <c r="N14" i="22"/>
  <c r="N22" i="18"/>
  <c r="H15" i="22"/>
  <c r="M11" i="103"/>
  <c r="G11" i="10"/>
  <c r="L18" i="103"/>
  <c r="F12" i="22"/>
  <c r="G160" i="128"/>
  <c r="D25" i="109"/>
  <c r="G51" i="12"/>
  <c r="E23" i="116"/>
  <c r="F23" i="116" s="1"/>
  <c r="L6" i="102"/>
  <c r="D28" i="109"/>
  <c r="H54" i="12"/>
  <c r="F117" i="128"/>
  <c r="E19" i="112"/>
  <c r="F19" i="112" s="1"/>
  <c r="D25" i="110"/>
  <c r="F52" i="12"/>
  <c r="H31" i="22"/>
  <c r="N17" i="102"/>
  <c r="E15" i="110"/>
  <c r="F15" i="110" s="1"/>
  <c r="N23" i="18"/>
  <c r="M26" i="102"/>
  <c r="N17" i="22"/>
  <c r="E10" i="111"/>
  <c r="F10" i="111" s="1"/>
  <c r="D12" i="116"/>
  <c r="F24" i="22"/>
  <c r="H34" i="22"/>
  <c r="D16" i="117"/>
  <c r="H18" i="22"/>
  <c r="E16" i="117"/>
  <c r="F16" i="117" s="1"/>
  <c r="G152" i="128"/>
  <c r="D12" i="111"/>
  <c r="E19" i="115"/>
  <c r="F19" i="115" s="1"/>
  <c r="M25" i="103"/>
  <c r="E18" i="109"/>
  <c r="F18" i="109" s="1"/>
  <c r="D16" i="113"/>
  <c r="G10" i="10"/>
  <c r="N34" i="22"/>
  <c r="F7" i="105"/>
  <c r="D25" i="117"/>
  <c r="E16" i="113"/>
  <c r="F16" i="113" s="1"/>
  <c r="N24" i="102"/>
  <c r="E10" i="105"/>
  <c r="G56" i="12"/>
  <c r="D16" i="109"/>
  <c r="H48" i="12"/>
  <c r="E9" i="106"/>
  <c r="M18" i="18"/>
  <c r="D28" i="115"/>
  <c r="F18" i="22"/>
  <c r="D21" i="28"/>
  <c r="D12" i="115"/>
  <c r="L7" i="103"/>
  <c r="N7" i="102"/>
  <c r="E25" i="117"/>
  <c r="F25" i="117" s="1"/>
  <c r="D19" i="111"/>
  <c r="E23" i="109"/>
  <c r="F23" i="109" s="1"/>
  <c r="E11" i="111"/>
  <c r="F11" i="111" s="1"/>
  <c r="G58" i="12"/>
  <c r="G48" i="12"/>
  <c r="F49" i="12"/>
  <c r="G9" i="105"/>
  <c r="D15" i="116"/>
  <c r="N16" i="103"/>
  <c r="M19" i="18"/>
  <c r="E21" i="110"/>
  <c r="F21" i="110" s="1"/>
  <c r="F8" i="5"/>
  <c r="E23" i="115"/>
  <c r="F23" i="115" s="1"/>
  <c r="I45" i="13"/>
  <c r="I43" i="13"/>
  <c r="H46" i="13"/>
  <c r="I46" i="13" s="1"/>
  <c r="G47" i="12"/>
  <c r="N9" i="41"/>
  <c r="E20" i="128"/>
  <c r="E18" i="28"/>
  <c r="F18" i="28" s="1"/>
  <c r="E23" i="117"/>
  <c r="F23" i="117" s="1"/>
  <c r="D12" i="110"/>
  <c r="H45" i="12"/>
  <c r="F51" i="12"/>
  <c r="D28" i="117"/>
  <c r="D25" i="116"/>
  <c r="E19" i="109"/>
  <c r="F19" i="109" s="1"/>
  <c r="E25" i="114"/>
  <c r="F25" i="114" s="1"/>
  <c r="N19" i="18"/>
  <c r="E21" i="111"/>
  <c r="F21" i="111" s="1"/>
  <c r="N26" i="103"/>
  <c r="D17" i="112"/>
  <c r="F9" i="6"/>
  <c r="E34" i="10"/>
  <c r="H43" i="12"/>
  <c r="M21" i="102"/>
  <c r="E18" i="110"/>
  <c r="F18" i="110" s="1"/>
  <c r="N12" i="103"/>
  <c r="E28" i="115"/>
  <c r="F28" i="115" s="1"/>
  <c r="D26" i="112"/>
  <c r="D16" i="110"/>
  <c r="D12" i="112"/>
  <c r="G79" i="128"/>
  <c r="E44" i="13"/>
  <c r="J35" i="22"/>
  <c r="D16" i="112"/>
  <c r="G46" i="12"/>
  <c r="J12" i="22"/>
  <c r="M14" i="103"/>
  <c r="H19" i="22"/>
  <c r="D12" i="109"/>
  <c r="D17" i="116"/>
  <c r="D15" i="117"/>
  <c r="F54" i="12"/>
  <c r="F136" i="128"/>
  <c r="D21" i="109"/>
  <c r="G27" i="128"/>
  <c r="G7" i="105"/>
  <c r="F10" i="105"/>
  <c r="K63" i="3"/>
  <c r="D10" i="110"/>
  <c r="E23" i="112"/>
  <c r="F23" i="112" s="1"/>
  <c r="F60" i="12"/>
  <c r="E26" i="28"/>
  <c r="F26" i="28" s="1"/>
  <c r="J27" i="22"/>
  <c r="L12" i="102"/>
  <c r="L13" i="102"/>
  <c r="G11" i="106"/>
  <c r="L8" i="102"/>
  <c r="D22" i="28"/>
  <c r="E42" i="10"/>
  <c r="D17" i="117"/>
  <c r="D14" i="117"/>
  <c r="N24" i="22"/>
  <c r="F71" i="128"/>
  <c r="D18" i="115"/>
  <c r="M26" i="103"/>
  <c r="D16" i="111"/>
  <c r="E10" i="112"/>
  <c r="F10" i="112" s="1"/>
  <c r="M24" i="18"/>
  <c r="G54" i="12"/>
  <c r="D15" i="112"/>
  <c r="F22" i="22"/>
  <c r="D23" i="111"/>
  <c r="J19" i="22"/>
  <c r="D14" i="28"/>
  <c r="H49" i="12"/>
  <c r="J34" i="22"/>
  <c r="G9" i="6"/>
  <c r="E25" i="110"/>
  <c r="F25" i="110" s="1"/>
  <c r="N11" i="22"/>
  <c r="D28" i="116"/>
  <c r="G52" i="12"/>
  <c r="F12" i="105"/>
  <c r="F63" i="12"/>
  <c r="F14" i="105"/>
  <c r="E17" i="117"/>
  <c r="F17" i="117" s="1"/>
  <c r="G33" i="10"/>
  <c r="N24" i="18"/>
  <c r="M9" i="41"/>
  <c r="G10" i="6"/>
  <c r="F42" i="10"/>
  <c r="D18" i="117"/>
  <c r="E15" i="113"/>
  <c r="F15" i="113" s="1"/>
  <c r="G45" i="12"/>
  <c r="E31" i="5"/>
  <c r="D18" i="109"/>
  <c r="K62" i="3"/>
  <c r="H40" i="12"/>
  <c r="G7" i="106"/>
  <c r="N10" i="41"/>
  <c r="L15" i="103"/>
  <c r="E28" i="114"/>
  <c r="F28" i="114" s="1"/>
  <c r="N18" i="22"/>
  <c r="D14" i="114"/>
  <c r="F33" i="22"/>
  <c r="E8" i="6"/>
  <c r="D17" i="109"/>
  <c r="M13" i="102"/>
  <c r="M8" i="41"/>
  <c r="L24" i="103"/>
  <c r="Y12" i="119"/>
  <c r="W12" i="119"/>
  <c r="E21" i="112"/>
  <c r="F21" i="112" s="1"/>
  <c r="E23" i="28"/>
  <c r="F23" i="28" s="1"/>
  <c r="G39" i="12"/>
  <c r="Y6" i="119"/>
  <c r="W6" i="119"/>
  <c r="M22" i="18"/>
  <c r="M10" i="103"/>
  <c r="G12" i="105"/>
  <c r="F33" i="10"/>
  <c r="E12" i="117"/>
  <c r="F12" i="117" s="1"/>
  <c r="D11" i="117"/>
  <c r="D28" i="112"/>
  <c r="N20" i="102"/>
  <c r="N7" i="103"/>
  <c r="D19" i="117"/>
  <c r="L20" i="18"/>
  <c r="E22" i="114"/>
  <c r="F22" i="114" s="1"/>
  <c r="E11" i="113"/>
  <c r="F11" i="113" s="1"/>
  <c r="H7" i="22"/>
  <c r="H56" i="12"/>
  <c r="E12" i="114"/>
  <c r="F12" i="114" s="1"/>
  <c r="N12" i="18"/>
  <c r="M16" i="103"/>
  <c r="H62" i="12"/>
  <c r="E14" i="117"/>
  <c r="F14" i="117" s="1"/>
  <c r="H50" i="12"/>
  <c r="D28" i="110"/>
  <c r="M12" i="102"/>
  <c r="D16" i="115"/>
  <c r="D25" i="114"/>
  <c r="M15" i="103"/>
  <c r="D22" i="117"/>
  <c r="L11" i="18"/>
  <c r="E11" i="112"/>
  <c r="F11" i="112" s="1"/>
  <c r="J18" i="22"/>
  <c r="L7" i="41"/>
  <c r="E14" i="28"/>
  <c r="F14" i="28" s="1"/>
  <c r="D26" i="111"/>
  <c r="E28" i="111"/>
  <c r="F28" i="111" s="1"/>
  <c r="N26" i="102"/>
  <c r="L26" i="103"/>
  <c r="M7" i="18"/>
  <c r="E16" i="112"/>
  <c r="F16" i="112" s="1"/>
  <c r="F84" i="119"/>
  <c r="E30" i="5"/>
  <c r="M17" i="103"/>
  <c r="D26" i="113"/>
  <c r="H9" i="22"/>
  <c r="E26" i="113"/>
  <c r="F26" i="113" s="1"/>
  <c r="D10" i="117"/>
  <c r="E14" i="109"/>
  <c r="F14" i="109" s="1"/>
  <c r="G12" i="10"/>
  <c r="M6" i="102"/>
  <c r="L22" i="103"/>
  <c r="D14" i="111"/>
  <c r="D17" i="115"/>
  <c r="D16" i="114"/>
  <c r="L18" i="18"/>
  <c r="J20" i="22"/>
  <c r="E28" i="112"/>
  <c r="F28" i="112" s="1"/>
  <c r="E21" i="114"/>
  <c r="F21" i="114" s="1"/>
  <c r="E26" i="112"/>
  <c r="F26" i="112" s="1"/>
  <c r="E16" i="116"/>
  <c r="F16" i="116" s="1"/>
  <c r="L12" i="103"/>
  <c r="M24" i="102"/>
  <c r="L12" i="18"/>
  <c r="L20" i="102"/>
  <c r="Y8" i="119"/>
  <c r="W8" i="119"/>
  <c r="D16" i="116"/>
  <c r="D9" i="5"/>
  <c r="N10" i="22"/>
  <c r="E25" i="116"/>
  <c r="F25" i="116" s="1"/>
  <c r="D19" i="109"/>
  <c r="M23" i="103"/>
  <c r="G38" i="12"/>
  <c r="N18" i="102"/>
  <c r="M17" i="18"/>
  <c r="E12" i="110"/>
  <c r="F12" i="110" s="1"/>
  <c r="E15" i="117"/>
  <c r="F15" i="117" s="1"/>
  <c r="N9" i="18"/>
  <c r="D17" i="113"/>
  <c r="E25" i="115"/>
  <c r="F25" i="115" s="1"/>
  <c r="G44" i="13"/>
  <c r="N7" i="18"/>
  <c r="E15" i="109"/>
  <c r="F15" i="109" s="1"/>
  <c r="E25" i="113"/>
  <c r="F25" i="113" s="1"/>
  <c r="F11" i="106"/>
  <c r="D21" i="116"/>
  <c r="G37" i="12"/>
  <c r="E16" i="109"/>
  <c r="F16" i="109" s="1"/>
  <c r="N15" i="102"/>
  <c r="J16" i="22"/>
  <c r="J14" i="22"/>
  <c r="M10" i="18"/>
  <c r="D10" i="116"/>
  <c r="D15" i="115"/>
  <c r="H14" i="22"/>
  <c r="D18" i="111"/>
  <c r="N23" i="22"/>
  <c r="E16" i="28"/>
  <c r="F16" i="28" s="1"/>
  <c r="M20" i="18"/>
  <c r="E21" i="113"/>
  <c r="F21" i="113" s="1"/>
  <c r="G11" i="105"/>
  <c r="H41" i="12"/>
  <c r="D17" i="111"/>
  <c r="N21" i="18"/>
  <c r="E12" i="109"/>
  <c r="F12" i="109" s="1"/>
  <c r="F20" i="22"/>
  <c r="F14" i="22"/>
  <c r="E12" i="113"/>
  <c r="F12" i="113" s="1"/>
  <c r="L25" i="102"/>
  <c r="F41" i="12"/>
  <c r="E19" i="116"/>
  <c r="F19" i="116" s="1"/>
  <c r="N27" i="22"/>
  <c r="N26" i="22"/>
  <c r="E11" i="109"/>
  <c r="F11" i="109" s="1"/>
  <c r="G44" i="12"/>
  <c r="E26" i="116"/>
  <c r="F26" i="116" s="1"/>
  <c r="D19" i="112"/>
  <c r="M14" i="18"/>
  <c r="D18" i="28"/>
  <c r="E17" i="114"/>
  <c r="F17" i="114" s="1"/>
  <c r="D14" i="109"/>
  <c r="F82" i="119"/>
  <c r="N31" i="22"/>
  <c r="H26" i="22"/>
  <c r="L8" i="41"/>
  <c r="E11" i="116"/>
  <c r="F11" i="116" s="1"/>
  <c r="N15" i="18"/>
  <c r="F47" i="12"/>
  <c r="N10" i="18"/>
  <c r="E15" i="115"/>
  <c r="F15" i="115" s="1"/>
  <c r="E23" i="111"/>
  <c r="F23" i="111" s="1"/>
  <c r="E17" i="28"/>
  <c r="F17" i="28" s="1"/>
  <c r="E28" i="28"/>
  <c r="F28" i="28" s="1"/>
  <c r="D21" i="110"/>
  <c r="L20" i="103"/>
  <c r="E19" i="111"/>
  <c r="F19" i="111" s="1"/>
  <c r="D22" i="114"/>
  <c r="M9" i="18"/>
  <c r="D23" i="117"/>
  <c r="M20" i="103"/>
  <c r="M15" i="102"/>
  <c r="N20" i="22"/>
  <c r="N9" i="103"/>
  <c r="L21" i="103"/>
  <c r="D15" i="110"/>
  <c r="N22" i="22"/>
  <c r="G9" i="10"/>
  <c r="I33" i="10"/>
  <c r="E11" i="117"/>
  <c r="F11" i="117" s="1"/>
  <c r="F9" i="105"/>
  <c r="N21" i="103"/>
  <c r="H22" i="22"/>
  <c r="D22" i="111"/>
  <c r="N6" i="102"/>
  <c r="H12" i="22"/>
  <c r="N18" i="18"/>
  <c r="D11" i="111"/>
  <c r="E12" i="28"/>
  <c r="F12" i="28" s="1"/>
  <c r="E17" i="109"/>
  <c r="F17" i="109" s="1"/>
  <c r="D17" i="114"/>
  <c r="D12" i="113"/>
  <c r="D23" i="114"/>
  <c r="D26" i="110"/>
  <c r="D11" i="110"/>
  <c r="M11" i="102"/>
  <c r="D18" i="110"/>
  <c r="E12" i="112"/>
  <c r="F12" i="112" s="1"/>
  <c r="D11" i="116"/>
  <c r="L9" i="18"/>
  <c r="E10" i="114"/>
  <c r="F10" i="114" s="1"/>
  <c r="N9" i="22"/>
  <c r="D22" i="112"/>
  <c r="N19" i="22"/>
  <c r="N10" i="103"/>
  <c r="D14" i="112"/>
  <c r="E14" i="114"/>
  <c r="F14" i="114" s="1"/>
  <c r="E18" i="116"/>
  <c r="F18" i="116" s="1"/>
  <c r="H38" i="12"/>
  <c r="D22" i="115"/>
  <c r="E15" i="111"/>
  <c r="F15" i="111" s="1"/>
  <c r="M25" i="18"/>
  <c r="E26" i="109"/>
  <c r="F26" i="109" s="1"/>
  <c r="G62" i="12"/>
  <c r="N19" i="103"/>
  <c r="G42" i="10"/>
  <c r="L14" i="103"/>
  <c r="F59" i="12"/>
  <c r="D26" i="116"/>
  <c r="D18" i="113"/>
  <c r="E12" i="115"/>
  <c r="F12" i="115" s="1"/>
  <c r="E21" i="109"/>
  <c r="F21" i="109" s="1"/>
  <c r="D11" i="5"/>
  <c r="Y5" i="119"/>
  <c r="W5" i="119"/>
  <c r="M10" i="102"/>
  <c r="N22" i="102"/>
  <c r="J25" i="22"/>
  <c r="J23" i="22"/>
  <c r="E23" i="114"/>
  <c r="F23" i="114" s="1"/>
  <c r="D22" i="110"/>
  <c r="D12" i="5"/>
  <c r="H17" i="22"/>
  <c r="F12" i="5"/>
  <c r="F23" i="22"/>
  <c r="H42" i="12"/>
  <c r="N16" i="102"/>
  <c r="F85" i="119"/>
  <c r="F15" i="22"/>
  <c r="D23" i="112"/>
  <c r="H34" i="10"/>
  <c r="E25" i="28"/>
  <c r="F25" i="28" s="1"/>
  <c r="L6" i="41"/>
  <c r="J8" i="22"/>
  <c r="G60" i="12"/>
  <c r="E17" i="115"/>
  <c r="F17" i="115" s="1"/>
  <c r="L16" i="18"/>
  <c r="F11" i="22"/>
  <c r="H60" i="12"/>
  <c r="H61" i="12"/>
  <c r="D16" i="28"/>
  <c r="H46" i="12"/>
  <c r="D10" i="115"/>
  <c r="E17" i="116"/>
  <c r="F17" i="116" s="1"/>
  <c r="J11" i="22"/>
  <c r="E11" i="115"/>
  <c r="F11" i="115" s="1"/>
  <c r="E18" i="111"/>
  <c r="F18" i="111" s="1"/>
  <c r="F34" i="22"/>
  <c r="M20" i="102"/>
  <c r="D21" i="115"/>
  <c r="N25" i="103"/>
  <c r="F29" i="22"/>
  <c r="D23" i="115"/>
  <c r="E7" i="106"/>
  <c r="G44" i="10"/>
  <c r="M15" i="18"/>
  <c r="E18" i="117"/>
  <c r="F18" i="117" s="1"/>
  <c r="E11" i="110"/>
  <c r="F11" i="110" s="1"/>
  <c r="L14" i="102"/>
  <c r="G63" i="12"/>
  <c r="M9" i="102"/>
  <c r="E28" i="113"/>
  <c r="F28" i="113" s="1"/>
  <c r="L24" i="18"/>
  <c r="N9" i="102"/>
  <c r="E19" i="114"/>
  <c r="F19" i="114" s="1"/>
  <c r="J26" i="22"/>
  <c r="H52" i="12"/>
  <c r="E21" i="28"/>
  <c r="F21" i="28" s="1"/>
  <c r="N33" i="22"/>
  <c r="Y11" i="119"/>
  <c r="W11" i="119"/>
  <c r="H55" i="12"/>
  <c r="E8" i="106"/>
  <c r="D25" i="115"/>
  <c r="J9" i="22"/>
  <c r="D34" i="10"/>
  <c r="D10" i="28"/>
  <c r="N8" i="41"/>
  <c r="J30" i="22"/>
  <c r="F62" i="3"/>
  <c r="H62" i="3"/>
  <c r="G49" i="12"/>
  <c r="N6" i="18"/>
  <c r="N20" i="18"/>
  <c r="F61" i="12"/>
  <c r="N15" i="22"/>
  <c r="L17" i="18"/>
  <c r="E22" i="115"/>
  <c r="F22" i="115" s="1"/>
  <c r="E22" i="113"/>
  <c r="F22" i="113" s="1"/>
  <c r="N25" i="22"/>
  <c r="E17" i="110"/>
  <c r="F17" i="110" s="1"/>
  <c r="E22" i="109"/>
  <c r="F22" i="109" s="1"/>
  <c r="L23" i="103"/>
  <c r="F35" i="22"/>
  <c r="W9" i="119"/>
  <c r="Y9" i="119"/>
  <c r="N21" i="22"/>
  <c r="D15" i="113"/>
  <c r="H11" i="22"/>
  <c r="N8" i="102"/>
  <c r="D19" i="115"/>
  <c r="M10" i="41"/>
  <c r="E28" i="5"/>
  <c r="L21" i="102"/>
  <c r="E11" i="28"/>
  <c r="F11" i="28" s="1"/>
  <c r="E25" i="111"/>
  <c r="F25" i="111" s="1"/>
  <c r="M26" i="18"/>
  <c r="M9" i="103"/>
  <c r="D18" i="112"/>
  <c r="G57" i="12"/>
  <c r="N21" i="102"/>
  <c r="E10" i="110"/>
  <c r="F10" i="110" s="1"/>
  <c r="L6" i="18"/>
  <c r="E21" i="115"/>
  <c r="F21" i="115" s="1"/>
  <c r="H59" i="12"/>
  <c r="N15" i="103"/>
  <c r="N8" i="22"/>
  <c r="F8" i="22"/>
  <c r="E14" i="110"/>
  <c r="F14" i="110" s="1"/>
  <c r="F43" i="12"/>
  <c r="E26" i="117"/>
  <c r="F26" i="117" s="1"/>
  <c r="E26" i="114"/>
  <c r="F26" i="114" s="1"/>
  <c r="N11" i="41"/>
  <c r="F8" i="6"/>
  <c r="M21" i="103"/>
  <c r="H33" i="10"/>
  <c r="D19" i="114"/>
  <c r="D11" i="28"/>
  <c r="G8" i="105"/>
  <c r="E10" i="117"/>
  <c r="F10" i="117" s="1"/>
  <c r="F9" i="5"/>
  <c r="D14" i="116"/>
  <c r="F42" i="12"/>
  <c r="L25" i="103"/>
  <c r="D21" i="111"/>
  <c r="F7" i="10"/>
  <c r="H58" i="12"/>
  <c r="M21" i="18"/>
  <c r="D23" i="28"/>
  <c r="L23" i="18"/>
  <c r="E18" i="113"/>
  <c r="F18" i="113" s="1"/>
  <c r="D12" i="114"/>
  <c r="G53" i="12"/>
  <c r="D17" i="110"/>
  <c r="M7" i="103"/>
  <c r="M11" i="18"/>
  <c r="E43" i="10"/>
  <c r="H39" i="12"/>
  <c r="F10" i="5"/>
  <c r="D28" i="107"/>
  <c r="L11" i="102"/>
  <c r="G7" i="6"/>
  <c r="E15" i="114"/>
  <c r="F15" i="114" s="1"/>
  <c r="E22" i="117"/>
  <c r="F22" i="117" s="1"/>
  <c r="F17" i="22"/>
  <c r="E26" i="110"/>
  <c r="F26" i="110" s="1"/>
  <c r="M23" i="18"/>
  <c r="N14" i="103"/>
  <c r="F31" i="22"/>
  <c r="E7" i="10"/>
  <c r="J13" i="22"/>
  <c r="E28" i="116"/>
  <c r="F28" i="116" s="1"/>
  <c r="F7" i="22"/>
  <c r="D14" i="110"/>
  <c r="M8" i="102"/>
  <c r="N17" i="103"/>
  <c r="D21" i="117"/>
  <c r="N13" i="22"/>
  <c r="G8" i="10"/>
  <c r="F34" i="10"/>
  <c r="F40" i="12"/>
  <c r="H33" i="22"/>
  <c r="L16" i="103"/>
  <c r="G34" i="10"/>
  <c r="E29" i="5"/>
  <c r="F56" i="12"/>
  <c r="F26" i="22"/>
  <c r="H63" i="12"/>
  <c r="L22" i="18"/>
  <c r="E19" i="28"/>
  <c r="F19" i="28" s="1"/>
  <c r="D25" i="28"/>
  <c r="H10" i="22"/>
  <c r="D28" i="111"/>
  <c r="E10" i="109"/>
  <c r="F10" i="109" s="1"/>
  <c r="H28" i="22"/>
  <c r="L17" i="103"/>
  <c r="F16" i="22"/>
  <c r="N26" i="18"/>
  <c r="E16" i="114"/>
  <c r="F16" i="114" s="1"/>
  <c r="E10" i="28"/>
  <c r="F10" i="28" s="1"/>
  <c r="D23" i="109"/>
  <c r="E17" i="113"/>
  <c r="F17" i="113" s="1"/>
  <c r="N13" i="18"/>
  <c r="N18" i="103"/>
  <c r="L15" i="18"/>
  <c r="H8" i="22"/>
  <c r="N11" i="103"/>
  <c r="E22" i="116"/>
  <c r="F22" i="116" s="1"/>
  <c r="H20" i="22"/>
  <c r="D23" i="113"/>
  <c r="H24" i="22"/>
  <c r="E15" i="28"/>
  <c r="F15" i="28" s="1"/>
  <c r="N24" i="103"/>
  <c r="H37" i="12"/>
  <c r="E44" i="10"/>
  <c r="N13" i="102"/>
  <c r="H35" i="22"/>
  <c r="F36" i="12"/>
  <c r="I65" i="12"/>
  <c r="F78" i="119"/>
  <c r="I34" i="10"/>
  <c r="M25" i="102"/>
  <c r="H21" i="22"/>
  <c r="N14" i="18"/>
  <c r="L11" i="41"/>
  <c r="H61" i="3"/>
  <c r="F61" i="3"/>
  <c r="F65" i="3"/>
  <c r="H65" i="3"/>
  <c r="H23" i="22"/>
  <c r="L9" i="103"/>
  <c r="D25" i="112"/>
  <c r="G42" i="12"/>
  <c r="N7" i="41"/>
  <c r="N11" i="18"/>
  <c r="D18" i="107"/>
  <c r="F50" i="12"/>
  <c r="L23" i="102"/>
  <c r="N6" i="103"/>
  <c r="H36" i="12"/>
  <c r="M6" i="103"/>
  <c r="F64" i="3"/>
  <c r="H64" i="3"/>
  <c r="W7" i="119"/>
  <c r="Y7" i="119"/>
  <c r="D36" i="106"/>
  <c r="D14" i="113"/>
  <c r="L13" i="18"/>
  <c r="M7" i="102"/>
  <c r="D42" i="105"/>
  <c r="E10" i="115"/>
  <c r="F10" i="115" s="1"/>
  <c r="L26" i="18"/>
  <c r="N17" i="18"/>
  <c r="N6" i="41"/>
  <c r="F80" i="119"/>
  <c r="F86" i="119"/>
  <c r="J22" i="22"/>
  <c r="N22" i="103"/>
  <c r="L11" i="103"/>
  <c r="N13" i="103"/>
  <c r="N25" i="102"/>
  <c r="M18" i="103"/>
  <c r="M17" i="102"/>
  <c r="D26" i="28"/>
  <c r="M22" i="103"/>
  <c r="H25" i="22"/>
  <c r="F38" i="12"/>
  <c r="H53" i="12"/>
  <c r="J29" i="22"/>
  <c r="F53" i="12"/>
  <c r="G55" i="12"/>
  <c r="L26" i="102"/>
  <c r="J24" i="22"/>
  <c r="D68" i="107"/>
  <c r="N8" i="103"/>
  <c r="N8" i="18"/>
  <c r="F81" i="119"/>
  <c r="L21" i="18"/>
  <c r="D35" i="107"/>
  <c r="H44" i="12"/>
  <c r="F44" i="10"/>
  <c r="F21" i="22"/>
  <c r="F63" i="3"/>
  <c r="H63" i="3"/>
  <c r="D46" i="107"/>
  <c r="F37" i="12"/>
  <c r="D3" i="45"/>
  <c r="D58" i="107"/>
  <c r="F55" i="12"/>
  <c r="H44" i="10"/>
  <c r="D44" i="10"/>
  <c r="I11" i="128"/>
  <c r="J11" i="128" s="1"/>
  <c r="I76" i="124"/>
  <c r="Q76" i="124" s="1"/>
  <c r="I55" i="128"/>
  <c r="J55" i="128" s="1"/>
  <c r="I71" i="3"/>
  <c r="I72" i="3" s="1"/>
  <c r="B4" i="3"/>
  <c r="B71" i="3"/>
  <c r="G72" i="3"/>
  <c r="F61" i="116"/>
  <c r="F63" i="109"/>
  <c r="F57" i="28"/>
  <c r="F60" i="117"/>
  <c r="F62" i="111"/>
  <c r="F62" i="115"/>
  <c r="D2" i="105"/>
  <c r="I14" i="112"/>
  <c r="D42" i="111"/>
  <c r="F63" i="116"/>
  <c r="F61" i="109"/>
  <c r="F59" i="28"/>
  <c r="F63" i="114"/>
  <c r="F59" i="117"/>
  <c r="F60" i="111"/>
  <c r="F60" i="115"/>
  <c r="F64" i="110"/>
  <c r="F63" i="112"/>
  <c r="F64" i="113"/>
  <c r="F60" i="109"/>
  <c r="F60" i="28"/>
  <c r="F64" i="114"/>
  <c r="F61" i="117"/>
  <c r="F63" i="111"/>
  <c r="F63" i="115"/>
  <c r="F60" i="110"/>
  <c r="F64" i="112"/>
  <c r="D2" i="106"/>
  <c r="D22" i="45"/>
  <c r="D27" i="45"/>
  <c r="D23" i="45"/>
  <c r="D25" i="45"/>
  <c r="D8" i="45"/>
  <c r="D15" i="45"/>
  <c r="D12" i="45"/>
  <c r="D30" i="45"/>
  <c r="D14" i="45"/>
  <c r="D20" i="45"/>
  <c r="D34" i="45"/>
  <c r="D13" i="45"/>
  <c r="D26" i="45"/>
  <c r="D32" i="45"/>
  <c r="D28" i="45"/>
  <c r="D24" i="45"/>
  <c r="D35" i="45"/>
  <c r="D29" i="45"/>
  <c r="D9" i="45"/>
  <c r="D7" i="45"/>
  <c r="D33" i="45"/>
  <c r="D18" i="45"/>
  <c r="D10" i="45"/>
  <c r="D19" i="45"/>
  <c r="D11" i="45"/>
  <c r="D17" i="45"/>
  <c r="D21" i="45"/>
  <c r="D16" i="45"/>
  <c r="D31" i="45"/>
  <c r="F61" i="113"/>
  <c r="F62" i="114"/>
  <c r="F62" i="117"/>
  <c r="F61" i="111"/>
  <c r="F61" i="115"/>
  <c r="F63" i="110"/>
  <c r="F60" i="112"/>
  <c r="F60" i="113"/>
  <c r="F60" i="114"/>
  <c r="F58" i="117"/>
  <c r="F64" i="111"/>
  <c r="F64" i="115"/>
  <c r="F61" i="110"/>
  <c r="F62" i="112"/>
  <c r="E62" i="117"/>
  <c r="F62" i="116"/>
  <c r="F62" i="113"/>
  <c r="F61" i="114"/>
  <c r="F62" i="110"/>
  <c r="F61" i="112"/>
  <c r="F60" i="116"/>
  <c r="F63" i="113"/>
  <c r="F59" i="109"/>
  <c r="F58" i="28"/>
  <c r="F64" i="116"/>
  <c r="F62" i="109"/>
  <c r="F61" i="28"/>
  <c r="I10" i="124" l="1"/>
  <c r="Q10" i="124" s="1"/>
  <c r="J115" i="128"/>
  <c r="I11" i="124"/>
  <c r="Q11" i="124" s="1"/>
  <c r="I115" i="128"/>
  <c r="I24" i="45"/>
  <c r="E14" i="112"/>
  <c r="F14" i="112" s="1"/>
  <c r="B32" i="3"/>
</calcChain>
</file>

<file path=xl/sharedStrings.xml><?xml version="1.0" encoding="utf-8"?>
<sst xmlns="http://schemas.openxmlformats.org/spreadsheetml/2006/main" count="1293" uniqueCount="435">
  <si>
    <t>PROJEKTE</t>
  </si>
  <si>
    <t>BETEILIGUNGEN</t>
  </si>
  <si>
    <t>FÖRDERUNG (Mio.€)</t>
  </si>
  <si>
    <t>KOORDINATIONEN</t>
  </si>
  <si>
    <t>Einreichungen</t>
  </si>
  <si>
    <t>Impressum:
Österreichische Forschungsförderungsgesellschaft mbH,
1090 Wien, Sensengasse 1, FN 252263a, HG Wien
DVR: 0037257/058</t>
  </si>
  <si>
    <t>Alle Angaben in diesem Bericht erfolgen trotz sorgfältiger Bearbeitung ohne Gewähr. Eine Haftung ist ausgeschlossen.</t>
  </si>
  <si>
    <t>Hinweis: Der vorliegende Bericht wird automatisiert erstellt. Unterschiedliche Seitenskalierungen sind eine Folge davon und werden nicht manuell korrigiert.</t>
  </si>
  <si>
    <t>EURATOM</t>
  </si>
  <si>
    <t>Säule dt</t>
  </si>
  <si>
    <t>benannter Bereich Bet_AT_Saeulen_Datenstand -&gt;</t>
  </si>
  <si>
    <t>benannter Bereich AT_ExSc_Datenstand -&gt;</t>
  </si>
  <si>
    <t/>
  </si>
  <si>
    <t>Einreichungen (ausblenden!)</t>
  </si>
  <si>
    <t>Österreich in Excellent Science</t>
  </si>
  <si>
    <t>Koordinationen</t>
  </si>
  <si>
    <t>Förderungen</t>
  </si>
  <si>
    <t>Beteiligungen</t>
  </si>
  <si>
    <t>alle Staaten</t>
  </si>
  <si>
    <t>Österreich</t>
  </si>
  <si>
    <t>Anteile für Österreich</t>
  </si>
  <si>
    <t>AT</t>
  </si>
  <si>
    <t>Alle Organisationstypen</t>
  </si>
  <si>
    <t>benannter Bereich Bet_Anteile_EU_Datenstand -&gt;</t>
  </si>
  <si>
    <t>Anteil an Koordinationen</t>
  </si>
  <si>
    <t>Anteil an Förderungen</t>
  </si>
  <si>
    <t>Anteil an Beteiligungen</t>
  </si>
  <si>
    <t>Quelle: EC 07/2015; Darstellung FFG</t>
  </si>
  <si>
    <t>benannter Bereich Eckdaten_Dritt_Datenstand -&gt;</t>
  </si>
  <si>
    <t>Index</t>
  </si>
  <si>
    <t>Land</t>
  </si>
  <si>
    <t>BEWILLIGTE BETEILIGUNGEN</t>
  </si>
  <si>
    <t>BEWILLIGTE FÖRDERUNG</t>
  </si>
  <si>
    <t>Assoziierte Staaten gesamt</t>
  </si>
  <si>
    <t>Gesamt</t>
  </si>
  <si>
    <t>ANTEIL ÖSTERR. BEW. BETEILIGUNGEN AN ALLEN STAATEN</t>
  </si>
  <si>
    <t>BEWILLIGTE FÖRDERUNGEN (Mio. €)</t>
  </si>
  <si>
    <t>BEWILLIGTE KOORDINATIONEN</t>
  </si>
  <si>
    <t>EVALUIERTE BETEILIGUNGEN</t>
  </si>
  <si>
    <t>ANTEIL AT AN ALLEN STAATEN</t>
  </si>
  <si>
    <t>Mitgliedstaaten</t>
  </si>
  <si>
    <t>Einreichungen ausblenden</t>
  </si>
  <si>
    <t>BEWILLIGTE 
BETEILIGUNGEN</t>
  </si>
  <si>
    <t>Datenstand</t>
  </si>
  <si>
    <t>Verträge</t>
  </si>
  <si>
    <t>Beteiligungen (Anzahl angedruckt)</t>
  </si>
  <si>
    <t>FÖRDERUNGEN</t>
  </si>
  <si>
    <t>Fission</t>
  </si>
  <si>
    <t>FISSION</t>
  </si>
  <si>
    <t>Fusion</t>
  </si>
  <si>
    <t>FUSION</t>
  </si>
  <si>
    <t>Forschungsinfrastrukturen</t>
  </si>
  <si>
    <t>Marie Skłodowska-Curie-Maßnahmen</t>
  </si>
  <si>
    <t>MSCA</t>
  </si>
  <si>
    <t>ERC</t>
  </si>
  <si>
    <t>Wissenschaftsexzellenz</t>
  </si>
  <si>
    <t>Anhang</t>
  </si>
  <si>
    <t>anzahl_beteiligungen</t>
  </si>
  <si>
    <t>foerderung</t>
  </si>
  <si>
    <t>anzahl_koordinatoren</t>
  </si>
  <si>
    <t>code</t>
  </si>
  <si>
    <t>Bet</t>
  </si>
  <si>
    <t>€</t>
  </si>
  <si>
    <t>Koord</t>
  </si>
  <si>
    <t>Burgenland</t>
  </si>
  <si>
    <t>Kärnten</t>
  </si>
  <si>
    <t>Niederösterreich</t>
  </si>
  <si>
    <t>Oberösterreich</t>
  </si>
  <si>
    <t>Salzburg</t>
  </si>
  <si>
    <t>Steiermark</t>
  </si>
  <si>
    <t>Tirol</t>
  </si>
  <si>
    <t>Vorarlberg</t>
  </si>
  <si>
    <t>Wien</t>
  </si>
  <si>
    <t>Quelle BRP, F&amp;E-Ausgaben und -Quote: Statistik Austria</t>
  </si>
  <si>
    <t>bewilligte Beteiligungen (Anzahl angedruckt)</t>
  </si>
  <si>
    <t>x</t>
  </si>
  <si>
    <t>y</t>
  </si>
  <si>
    <t>Förderung in €</t>
  </si>
  <si>
    <t>Förderung in Mio. €</t>
  </si>
  <si>
    <t>Beteiligung</t>
  </si>
  <si>
    <t>Belgien</t>
  </si>
  <si>
    <t>Bulgarien</t>
  </si>
  <si>
    <t>Dänemark</t>
  </si>
  <si>
    <t>Deutschland</t>
  </si>
  <si>
    <t>Estland</t>
  </si>
  <si>
    <t>Finnland</t>
  </si>
  <si>
    <t>Frankreich</t>
  </si>
  <si>
    <t>Griechenland</t>
  </si>
  <si>
    <t>Irland</t>
  </si>
  <si>
    <t>Italien</t>
  </si>
  <si>
    <t>Kroatien</t>
  </si>
  <si>
    <t>Lettland</t>
  </si>
  <si>
    <t>Litauen</t>
  </si>
  <si>
    <t>Luxemburg</t>
  </si>
  <si>
    <t>Malta</t>
  </si>
  <si>
    <t>Niederlande</t>
  </si>
  <si>
    <t>Polen</t>
  </si>
  <si>
    <t>Portugal</t>
  </si>
  <si>
    <t>Rumänien</t>
  </si>
  <si>
    <t>Schweden</t>
  </si>
  <si>
    <t>Slowakei</t>
  </si>
  <si>
    <t>Slowenien</t>
  </si>
  <si>
    <t>Spanien</t>
  </si>
  <si>
    <t>Tschechische Republik</t>
  </si>
  <si>
    <t>Ungarn</t>
  </si>
  <si>
    <t>Zypern</t>
  </si>
  <si>
    <t>Förderung für alle Staaten</t>
  </si>
  <si>
    <t>Anteil Österreichs</t>
  </si>
  <si>
    <t>ERFOLGSQUOTE</t>
  </si>
  <si>
    <t>FÖRDERUNG</t>
  </si>
  <si>
    <t>Österreichische Forschungsförderungsgesellschaft mbH</t>
  </si>
  <si>
    <t>Sensengasse 1, 1090 Wien</t>
  </si>
  <si>
    <t>EU-Performance Monitoring für FTI im Auftrag von:</t>
  </si>
  <si>
    <t>Bisher dokumentiert</t>
  </si>
  <si>
    <t>EVALUIERTE 
BETEILIGUNGEN</t>
  </si>
  <si>
    <t>Europäischer Forschungsrat</t>
  </si>
  <si>
    <t>Country</t>
  </si>
  <si>
    <t>Country_ID</t>
  </si>
  <si>
    <t>BURGENLAND</t>
  </si>
  <si>
    <t>KÄRNTEN</t>
  </si>
  <si>
    <t>NIEDERÖSTERREICH</t>
  </si>
  <si>
    <t>OBERÖSTERREICH</t>
  </si>
  <si>
    <t>SALZBURG</t>
  </si>
  <si>
    <t>STEIERMARK</t>
  </si>
  <si>
    <t>TIROL</t>
  </si>
  <si>
    <t>VORARLBERG</t>
  </si>
  <si>
    <t>WIEN</t>
  </si>
  <si>
    <t>ÖSTERREICH</t>
  </si>
  <si>
    <t>Förderung an Österreich</t>
  </si>
  <si>
    <t>Rang</t>
  </si>
  <si>
    <t>Bewilligungen</t>
  </si>
  <si>
    <t>KMU (alle Organisationstypen)</t>
  </si>
  <si>
    <t>KMU (nur Unternehmen)</t>
  </si>
  <si>
    <t>Vertragsstatus</t>
  </si>
  <si>
    <t>Förderung</t>
  </si>
  <si>
    <t>Anteil</t>
  </si>
  <si>
    <t>Darstellung: FFG</t>
  </si>
  <si>
    <t>Quote</t>
  </si>
  <si>
    <t>6148</t>
  </si>
  <si>
    <t>6149</t>
  </si>
  <si>
    <t>6151</t>
  </si>
  <si>
    <t>6155</t>
  </si>
  <si>
    <t>6156</t>
  </si>
  <si>
    <t>6157</t>
  </si>
  <si>
    <t>6152</t>
  </si>
  <si>
    <t>6158</t>
  </si>
  <si>
    <t>6159</t>
  </si>
  <si>
    <t>6160</t>
  </si>
  <si>
    <t>6161</t>
  </si>
  <si>
    <t>6162</t>
  </si>
  <si>
    <t>6163</t>
  </si>
  <si>
    <t>6153</t>
  </si>
  <si>
    <t>6164</t>
  </si>
  <si>
    <t>6165</t>
  </si>
  <si>
    <t>6166</t>
  </si>
  <si>
    <t>6154</t>
  </si>
  <si>
    <t>6167</t>
  </si>
  <si>
    <t>6168</t>
  </si>
  <si>
    <t>6150</t>
  </si>
  <si>
    <t>für Projekte check Tabellenblatt uebb056_Anteil_AT_Programme</t>
  </si>
  <si>
    <t>Alle Staaten</t>
  </si>
  <si>
    <t>Anteil Österreichs 
in %</t>
  </si>
  <si>
    <t>fürs erste ev die Säulen, später besser Programme bzw. (auch) die Cluster/Destinations!</t>
  </si>
  <si>
    <t>Budget Horizon Europe</t>
  </si>
  <si>
    <t>Widening Participation &amp; Strengthening ERA</t>
  </si>
  <si>
    <t>Global Challenges &amp; Europ. Ind. Competitiveness</t>
  </si>
  <si>
    <t>H2020</t>
  </si>
  <si>
    <t>EU-27</t>
  </si>
  <si>
    <t>Zur Info: 09-05-22: keine Aktuellere F&amp;E Erhebung der Stata verfügbar als 2019</t>
  </si>
  <si>
    <t>RIS</t>
  </si>
  <si>
    <t>Health</t>
  </si>
  <si>
    <t>Digital, Industry and Space</t>
  </si>
  <si>
    <t>Climate, Energy and Mobility</t>
  </si>
  <si>
    <t>EIC</t>
  </si>
  <si>
    <t>EIE</t>
  </si>
  <si>
    <t>EIT</t>
  </si>
  <si>
    <t>Civil Security …</t>
  </si>
  <si>
    <t>Culture, creativity …</t>
  </si>
  <si>
    <t>Food, Bioeconomy …</t>
  </si>
  <si>
    <t>Widening &amp; Spreading</t>
  </si>
  <si>
    <t>Reforming &amp; Enhancing</t>
  </si>
  <si>
    <t>Rohdaten für Berechnung</t>
  </si>
  <si>
    <t>Hinweis UK: nachdem andere Nicht-Mitglieder im Sinne der besseren Orientierung auch auf der Karte sind, bleibt auch die Insel eingeblendet.</t>
  </si>
  <si>
    <t>Assoziierung zu Horizon Europe</t>
  </si>
  <si>
    <t>provisorisch oder schon in Kraft</t>
  </si>
  <si>
    <t>bevorstehend</t>
  </si>
  <si>
    <t>Assoziierte Staaten: Eckdaten für Horizon Europe</t>
  </si>
  <si>
    <t>in petto</t>
  </si>
  <si>
    <t>Hinweis: Eine Darstellung der Länder die zu Horizon Europe assoziiert sind, ist unter https://ec.europa.eu/info/funding-tenders/opportunities/docs/2021-2027/common/guidance/list-3rd-country-participation_horizon-euratom_en.pdf zu finden.</t>
  </si>
  <si>
    <t>Säule</t>
  </si>
  <si>
    <t>summe exkl Euratom</t>
  </si>
  <si>
    <t>benannter Bereich Datenstand -&gt;</t>
  </si>
  <si>
    <t>Cluster 1</t>
  </si>
  <si>
    <t>Cluster 2</t>
  </si>
  <si>
    <t>Cluster 3</t>
  </si>
  <si>
    <t>Cluster 4</t>
  </si>
  <si>
    <t>Cluster 5</t>
  </si>
  <si>
    <t>Cluster 6</t>
  </si>
  <si>
    <t>other</t>
  </si>
  <si>
    <t>UNIVERSITAET WIEN</t>
  </si>
  <si>
    <t>AIT AUSTRIAN INSTITUTE OF TECHNOLOGY GMBH</t>
  </si>
  <si>
    <t>UNIVERSITAET INNSBRUCK</t>
  </si>
  <si>
    <t>INFINEON TECHNOLOGIES AUSTRIA AG</t>
  </si>
  <si>
    <t>INSTITUTE OF SCIENCE AND TECHNOLOGY AUSTRIA</t>
  </si>
  <si>
    <t>BBMRI ERIC</t>
  </si>
  <si>
    <t>MEDIZINISCHE UNIVERSITAET INNSBRUCK</t>
  </si>
  <si>
    <t>Excellent Science</t>
  </si>
  <si>
    <t>European Research Council (ERC)</t>
  </si>
  <si>
    <t>Marie Skłodowska-Curie Actions (MSCA)</t>
  </si>
  <si>
    <t>Global Challenges and European Industrial Competitiveness</t>
  </si>
  <si>
    <t>Culture, creativity and inclusive society</t>
  </si>
  <si>
    <t>Civil Security for Society</t>
  </si>
  <si>
    <t>Innovative Europe</t>
  </si>
  <si>
    <t>Widening Participation and Strengthening the European Research Area</t>
  </si>
  <si>
    <t>Widening participation and spreading excellence</t>
  </si>
  <si>
    <t>Reforming and enhancing the European R&amp;I System</t>
  </si>
  <si>
    <t>Struktur von Horizon Europe</t>
  </si>
  <si>
    <t>Englisch</t>
  </si>
  <si>
    <t>Deutsch</t>
  </si>
  <si>
    <t>Gesundheit</t>
  </si>
  <si>
    <t>Digitalisierung, Industrie und Raumfahrt</t>
  </si>
  <si>
    <t>Klima, Energie und Mobilität</t>
  </si>
  <si>
    <t>Lebensmittel, Bioökonomie, natürliche Ressourcen, Landwirtschaft und Umwelt</t>
  </si>
  <si>
    <t>Kultur, Kreativität und inklusive Gesellschaft</t>
  </si>
  <si>
    <t>Europäischer Innovationsrat (EIC)</t>
  </si>
  <si>
    <t>Ausweitung der Beteiligung und Stärkung des Europäischen Forschungsraums</t>
  </si>
  <si>
    <t>Ausweitung der Beteiligung und Verbreitung von Exzellenz</t>
  </si>
  <si>
    <t>Reformierung und Stärkung des europäischen FuI-Systems</t>
  </si>
  <si>
    <t>Globale Herausforderungen und industrielle Wettbewerbsfähigkeit Europas</t>
  </si>
  <si>
    <t>Dim1</t>
  </si>
  <si>
    <t>Dim2</t>
  </si>
  <si>
    <t>bewilligte Koord</t>
  </si>
  <si>
    <t>Innerhalb der Cluster der Säule 2 gibt es unterschiedliche Programmschwerpunkte. Die Topics der Arbeitsprogramme erlauben eine thematische Gliederung. Die nachfolgende Tabelle zeigt diese Gliederung der Cluster; die Bezeichnungen stammen aus den Topictiteln.</t>
  </si>
  <si>
    <t>Förderung für Österreich nach Säulen</t>
  </si>
  <si>
    <t>Erfolgsquoten für die EU-27 im Vergleich der Rahmenprogramme</t>
  </si>
  <si>
    <r>
      <t xml:space="preserve">ERFOLGSQUOTE DER BETEILIGUNG 
</t>
    </r>
    <r>
      <rPr>
        <b/>
        <sz val="11"/>
        <rFont val="Calibri"/>
        <family val="2"/>
        <scheme val="minor"/>
      </rPr>
      <t>HORIZON EUROPE</t>
    </r>
  </si>
  <si>
    <r>
      <t xml:space="preserve">ERFOLGSQUOTE DER BETEILIGUNG 
</t>
    </r>
    <r>
      <rPr>
        <b/>
        <sz val="11"/>
        <rFont val="Calibri"/>
        <family val="2"/>
        <scheme val="minor"/>
      </rPr>
      <t>FP7</t>
    </r>
  </si>
  <si>
    <r>
      <t xml:space="preserve">ERFOLGSQUOTE DER BETEILIGUNG 
</t>
    </r>
    <r>
      <rPr>
        <b/>
        <sz val="11"/>
        <rFont val="Calibri"/>
        <family val="2"/>
        <scheme val="minor"/>
      </rPr>
      <t>H2020</t>
    </r>
  </si>
  <si>
    <t>Widening Participation and Strengthening the ERA</t>
  </si>
  <si>
    <t>EINREICHUNGEN
(EVALUIERTE BETEILIGUNGEN)</t>
  </si>
  <si>
    <t>anteil an doku</t>
  </si>
  <si>
    <t>anteil an budget</t>
  </si>
  <si>
    <t>Drittstaaten: Eckdaten für Horizon Europe</t>
  </si>
  <si>
    <t>Hinweis: Eine Darstellung der Drittstaaten in Horizon Europe, ist unter https://ec.europa.eu/info/funding-tenders/opportunities/docs/2021-2027/common/guidance/list-3rd-country-participation_horizon-euratom_en.pdf zu finden.</t>
  </si>
  <si>
    <t>Drittstaaten mit den meisten bewilligten Beteiligungen in Horizon Europe.</t>
  </si>
  <si>
    <t>Innovatives Europa</t>
  </si>
  <si>
    <t>TECHNISCHE UNIVERSITAET WIEN</t>
  </si>
  <si>
    <t>WIRTSCHAFTSAGENTUR BURGENLAND GMBH</t>
  </si>
  <si>
    <t>TECHNIKON FORSCHUNGS UND PLANUNGSGESELLSCHAFT MBH</t>
  </si>
  <si>
    <t>UNIVERSITAET KLAGENFURT</t>
  </si>
  <si>
    <t>PROFACTOR GMBH</t>
  </si>
  <si>
    <t>UNIVERSITAET SALZBURG</t>
  </si>
  <si>
    <t>PARACELSUS MEDIZINISCHE PRIVATUNIVERSITAET</t>
  </si>
  <si>
    <t>AVL LIST GMBH</t>
  </si>
  <si>
    <t>FACHHOCHSCHULE VORARLBERG GMBH</t>
  </si>
  <si>
    <t>AAT ABWASSER UND ABFALLTECHNIK GMBH</t>
  </si>
  <si>
    <t>HEAD SPORT GMBH</t>
  </si>
  <si>
    <t>CREE GMBH</t>
  </si>
  <si>
    <t>INTERNATIONALES INSTITUT FUER ANGEWANDTE SYSTEMANALYSE</t>
  </si>
  <si>
    <t>TECHNISCHE UNIVERSITAET GRAZ</t>
  </si>
  <si>
    <t>noch nicht dokumentiert</t>
  </si>
  <si>
    <t>dokumentiert</t>
  </si>
  <si>
    <t>TEST FUCHS GMBH</t>
  </si>
  <si>
    <t>UNIVERSITAET LINZ</t>
  </si>
  <si>
    <t>ALPINE QUANTUM TECHNOLOGIES GMBH</t>
  </si>
  <si>
    <t>ANTEIL AN FÖRDERUNGEN 
AN ALLE STAATEN</t>
  </si>
  <si>
    <t>ANTEIL AN BETEILIGUNGEN 
AUS ALLEN STAATEN</t>
  </si>
  <si>
    <t>Achtung evaldaten für Länder</t>
  </si>
  <si>
    <t>Summe oben</t>
  </si>
  <si>
    <t>ist neue summe</t>
  </si>
  <si>
    <t>Summe fünfstellige codes</t>
  </si>
  <si>
    <t>Förderung an alle Staaten und Anteil für Österreich</t>
  </si>
  <si>
    <t>Förderung in Millionen Euro für alle Staaten</t>
  </si>
  <si>
    <t xml:space="preserve">Die Kategorisierung einer Organisation als KMU ist nicht nur für Unternehmen möglich. Auch Entitäten, die anderen Organisationstypen zugeordnet sind, können den Status eines KMU in Anspruch nehmen. </t>
  </si>
  <si>
    <t>ANZAHL  BETEILIGUNGEN</t>
  </si>
  <si>
    <t>ANZAHL KOORDINATIONEN</t>
  </si>
  <si>
    <t>Anmerkung: Die dargestellten Werte sind im Anhang im Detail zu finden. Die Sortierung der Länder erfolgt absteigend nach der Zahl der Beteiligungen.</t>
  </si>
  <si>
    <t xml:space="preserve">BETEILIGUNGEN </t>
  </si>
  <si>
    <t xml:space="preserve">FÖRDERUNG </t>
  </si>
  <si>
    <t>ANTEIL AN KOORDINATIONEN 
AUS ALLEN STAATEN</t>
  </si>
  <si>
    <t>Die nachstehende Tabelle zeigt Drittstaaten mit den meisten Beteiligungen in Horizon Europe.</t>
  </si>
  <si>
    <t>FÖRDERUNGEN (Mio. €)</t>
  </si>
  <si>
    <t>Beteiligungen für die österreichischen Bundesländer nach Organisationstyp</t>
  </si>
  <si>
    <t>Koordinationen für die österreichischen Bundesländer nach Organisationstyp</t>
  </si>
  <si>
    <t>Förderung für die österreichischen Bundesländer nach Organisationstyp</t>
  </si>
  <si>
    <t>Verträge (Anzahl angedruckt)</t>
  </si>
  <si>
    <t>HORIZON EUROPE</t>
  </si>
  <si>
    <t>FP7</t>
  </si>
  <si>
    <t>European innovation ecosystems (EIE)</t>
  </si>
  <si>
    <t>Europäische Innovationssysteme (EIE)</t>
  </si>
  <si>
    <t>Europäisches Innovations- und Technologieinstitut (EIT)</t>
  </si>
  <si>
    <t>Research infrastructures (RIS)</t>
  </si>
  <si>
    <t>Horizon Europe</t>
  </si>
  <si>
    <t>Anteil an Österreich</t>
  </si>
  <si>
    <t>Accelerator</t>
  </si>
  <si>
    <t>Pathfinder</t>
  </si>
  <si>
    <t>Transition</t>
  </si>
  <si>
    <t>EIC andere</t>
  </si>
  <si>
    <t>Anzahl Zeichen</t>
  </si>
  <si>
    <t>Connect</t>
  </si>
  <si>
    <t>Innovative SMEs</t>
  </si>
  <si>
    <t>Scale-up</t>
  </si>
  <si>
    <t>Andere Instrumente</t>
  </si>
  <si>
    <t>ERC Starting Grant</t>
  </si>
  <si>
    <t>ERC Consolidator Grant</t>
  </si>
  <si>
    <t>ERC Advanced Grant</t>
  </si>
  <si>
    <t>ERC andere</t>
  </si>
  <si>
    <t>MSCA Doctoral Networks</t>
  </si>
  <si>
    <t>MSCA Postdoctoral Fellowships</t>
  </si>
  <si>
    <t>MSCA Staff Exchanges</t>
  </si>
  <si>
    <t>MSCA COFUND</t>
  </si>
  <si>
    <t>MSCA and Citizens</t>
  </si>
  <si>
    <t>MSCA andere</t>
  </si>
  <si>
    <t>EOSC</t>
  </si>
  <si>
    <t>Infrastructures andere</t>
  </si>
  <si>
    <t>Call-ID manuell</t>
  </si>
  <si>
    <t>INFRASERV</t>
  </si>
  <si>
    <t>INFRATECH</t>
  </si>
  <si>
    <t>INFRADEV</t>
  </si>
  <si>
    <t>INFRANET</t>
  </si>
  <si>
    <t>MEDIZINISCHE UNIVERSITAET WIEN</t>
  </si>
  <si>
    <t>UNIVERSITAET GRAZ</t>
  </si>
  <si>
    <t>Food, Bioeconomy, Natural Resources, Agriculture and Environment</t>
  </si>
  <si>
    <t>European Innovation Council (EIC)</t>
  </si>
  <si>
    <t>European Institute of Innovation and Technology (EIT)</t>
  </si>
  <si>
    <t>https://www.ffg.at/europa/heu/eic</t>
  </si>
  <si>
    <t>Österreich in Säule Innovative Europe - Programmdetails EIC</t>
  </si>
  <si>
    <t>Im Programm European Innovation Council, EIC werden bahnbrechende Innovationen mit disruptiven Auswirkungen und internationalem Skalierungspotenzial unterstützt. Die drei Hauptinstrumente dieses Programmes sind Pathfinder, Transition Activities und Accelerator.</t>
  </si>
  <si>
    <t>Transition Activities (TRL 4 bis 6) helfen, die Lücke zwischen Pathfinder (oder ERC-Proof-of-Concept) und Accelerator zu schließen. Dazu gehören Aktivitäten zur Formulierung eines Businessplans oder auch die Gründung von Spin-Off-Unternehmen.</t>
  </si>
  <si>
    <t>Accelerator-Projekte (TRL 6-9) konzentrieren sich auf risikoreiche Innovationen mit potenziell disruptiven Auswirkungen auf den Markt. Sie werden von einem einzelnen Start-up oder KMU vorgeschlagen, um die Entwicklung eines Prototyps zu einem marktreifen Endprodukt für die Skalierung ihres Geschäfts voranzutreiben.</t>
  </si>
  <si>
    <t xml:space="preserve">Pathfinder-Projekte mit Technologie-Reifegrad (Technology Readiness Level, TRL) 1 bis 4 zielen auf visionäre, radikal neue Technologien ab. </t>
  </si>
  <si>
    <t>Erläuterungen von der FFG-HP</t>
  </si>
  <si>
    <t>Österreich in Säule Excellent Science - Programmdetails ERC und MSCA</t>
  </si>
  <si>
    <t>Bericht auf der Basis von Vertragsdaten</t>
  </si>
  <si>
    <t>EUROPAEISCHES ZENTRUM FUER ERNEUERBARE ENERGIE GUESSING GMBH</t>
  </si>
  <si>
    <t>MEDIZINISCHE UNIVERSITAET GRAZ</t>
  </si>
  <si>
    <t>SUNPLUGGED SOLARE ENERGIESYSTEME GMBH</t>
  </si>
  <si>
    <t>https://sciencebusiness.net/news/horizon-europe/horizon-europe-budget-be-cut-eu21b-defence-research-gets-eu15b-boost</t>
  </si>
  <si>
    <t>Streichung</t>
  </si>
  <si>
    <t>Budget-Streichung</t>
  </si>
  <si>
    <t>Anteil Doku neu</t>
  </si>
  <si>
    <t>Anteil Streichung an Budget</t>
  </si>
  <si>
    <t>das im Auge behalten, ev einarbeiten mit Hinweis, dass 2,1 Milliarden zugunsten … Ergo 2% des Budgets werden nicht/nie dokumentiert.</t>
  </si>
  <si>
    <t>PALO.HIDECOLUMN(ISTLEER($A$1))</t>
  </si>
  <si>
    <t>LAKESIDE LABS GMBH</t>
  </si>
  <si>
    <t>UNIVERSITAET FUER WEITERBILDUNG KREMS</t>
  </si>
  <si>
    <t>LKR LEICHTMETALLKOMPETENZZENTRUM RANSHOFEN GMBH</t>
  </si>
  <si>
    <t>SAG NEW TECHNOLOGIES GMBH</t>
  </si>
  <si>
    <t>gruppe</t>
  </si>
  <si>
    <t>BIP 2021</t>
  </si>
  <si>
    <t>Beteiligungen aus Österreich, das sind</t>
  </si>
  <si>
    <t>Koordinationen aus Österreich, das sind</t>
  </si>
  <si>
    <t>an allen Ländern.</t>
  </si>
  <si>
    <t>Nicht alle Projekte und Beteiligungen werden diesen Gruppen zugeordnet. Unter anderem sind JU oder Mission-Calls hier nicht integriert. Daher weichen die Summen von der Darstellung auf der gegenüberliegenden Seite ab.</t>
  </si>
  <si>
    <t>land</t>
  </si>
  <si>
    <t>tabelle sortieren ab Spalte B! und achtung farbe für AT</t>
  </si>
  <si>
    <t>Die Säule Excellent Science enthält die Programme European Research Council (ERC), Marie Skłodowska-Curie Actions (MSCA) und Research Infrastructures. ERC ist das themenoffene Förderprogramm für Spitzenforschung für Forscher:innen in allen Phasen ihrer Karriere. MSC Actions unterstützen Forschende in allen Phasen ihrer Karriere und fördern den wissenschaftlichen Austausch zwischen verschiedenen Ländern, Disziplinen und Organisationstypen. 
Nachfolgend ist die Beteiligung Österreichs in den Hauptinstrumenten von ERC und MSCA dargestellt.</t>
  </si>
  <si>
    <t>check neue calls</t>
  </si>
  <si>
    <t>call id</t>
  </si>
  <si>
    <t>AMT DER BURGENLAENDISCHEN LANDESREGIERUNG</t>
  </si>
  <si>
    <t>ACMIT GMBH</t>
  </si>
  <si>
    <t>GEBRUEDER WEISS GESELLSCHAFT M B H</t>
  </si>
  <si>
    <t>durchzählen</t>
  </si>
  <si>
    <t>schon vorhanden?</t>
  </si>
  <si>
    <t>PRIVATUNIVERSITAET SCHLOSS SEEBURG</t>
  </si>
  <si>
    <t>10065</t>
  </si>
  <si>
    <t>10082</t>
  </si>
  <si>
    <t>10149</t>
  </si>
  <si>
    <t>10183</t>
  </si>
  <si>
    <t>10131</t>
  </si>
  <si>
    <t>10202</t>
  </si>
  <si>
    <t>10189</t>
  </si>
  <si>
    <t>10054</t>
  </si>
  <si>
    <t>10165</t>
  </si>
  <si>
    <t>10052</t>
  </si>
  <si>
    <t>10094</t>
  </si>
  <si>
    <t>10147</t>
  </si>
  <si>
    <t>10118</t>
  </si>
  <si>
    <t>10150</t>
  </si>
  <si>
    <t>10116</t>
  </si>
  <si>
    <t>10031</t>
  </si>
  <si>
    <t>10042</t>
  </si>
  <si>
    <t>10211</t>
  </si>
  <si>
    <t>10111</t>
  </si>
  <si>
    <t>10182</t>
  </si>
  <si>
    <t>10109</t>
  </si>
  <si>
    <t>10145</t>
  </si>
  <si>
    <t>10059</t>
  </si>
  <si>
    <t>10143</t>
  </si>
  <si>
    <t>10056</t>
  </si>
  <si>
    <t>HORIZON-INFRA-2024-DEV-02</t>
  </si>
  <si>
    <t>HORIZON-INFRA-2024-DEV-01</t>
  </si>
  <si>
    <t>HORIZON-INFRA-2024-EOSC-01</t>
  </si>
  <si>
    <t>länge</t>
  </si>
  <si>
    <t>HOCHSCHULE FUER ANGEWANDTE WISSENSCHAFTEN BURGENLAND GMBH</t>
  </si>
  <si>
    <t>FACHHOCHSCHULE KAERNTEN</t>
  </si>
  <si>
    <t>10067</t>
  </si>
  <si>
    <t>10148</t>
  </si>
  <si>
    <t>RESEARCH STUDIOS AUSTRIA FORSCHUNGSGESELLSCHAFT MBH</t>
  </si>
  <si>
    <t>UMIT TIROL PRIVATUNIVERSITAET FUER GESUNDHEITSWISSENSCHAFTEN UND TECHNOLOGIE</t>
  </si>
  <si>
    <t>F&amp;E Ausgaben 2023</t>
  </si>
  <si>
    <t>Bundesland</t>
  </si>
  <si>
    <t>BRP nominell in Mio EUR</t>
  </si>
  <si>
    <t>Extra-Regio</t>
  </si>
  <si>
    <t>BRP 2023</t>
  </si>
  <si>
    <t>BIP 2023</t>
  </si>
  <si>
    <t>F&amp;E-AUSGABEN 2023</t>
  </si>
  <si>
    <t>F&amp;E-QUOTE 2023</t>
  </si>
  <si>
    <t>Orgnamen aus Jedoxtest</t>
  </si>
  <si>
    <t>Cockpitbericht_BL_Factsheet_Org_vertrag</t>
  </si>
  <si>
    <t>10141</t>
  </si>
  <si>
    <t>10073</t>
  </si>
  <si>
    <t>5312</t>
  </si>
  <si>
    <t>5233</t>
  </si>
  <si>
    <t>5234</t>
  </si>
  <si>
    <t>5281</t>
  </si>
  <si>
    <t>5283</t>
  </si>
  <si>
    <t>5235</t>
  </si>
  <si>
    <t>5236</t>
  </si>
  <si>
    <t>5237</t>
  </si>
  <si>
    <t>5284</t>
  </si>
  <si>
    <t>Das entspricht einer Beteiligung an jedem neunten Projekt.</t>
  </si>
  <si>
    <t>Februar 26 drittstaaten wurden gelöst</t>
  </si>
  <si>
    <t>10083</t>
  </si>
  <si>
    <t>10110</t>
  </si>
  <si>
    <t>Bericht aus Jedoxtest, kontrolliere neue Assoziationen, sonst sortieren und hier nur Dim reinkopieren, Top 30 bzw ex aequo</t>
  </si>
  <si>
    <t>HORIZON-EURATOM-HORIZONTAL-2025-09-IBA</t>
  </si>
  <si>
    <t>HORIZON-INFRA-2025-01</t>
  </si>
  <si>
    <t>FORSCHUNG BURGENLAND GMBH</t>
  </si>
  <si>
    <t>K1 MET GMBH</t>
  </si>
  <si>
    <t>FH OOE FORSCHUNGS&amp;ENTWICKLUNGS GMBH</t>
  </si>
  <si>
    <t>SILICON AUSTRIA LABS GMBH</t>
  </si>
  <si>
    <t>OESTERREICHISCHE FORSCHUNGSFOERDERUNGSGESELLSCHAFT MBH</t>
  </si>
  <si>
    <t>diese Tabelle sortieren nach "Bet" (Spalte I) absteigend, dann Land (Spalte E) aufsteigend</t>
  </si>
  <si>
    <t>Von den nachfolgenden Auswertungen stehen die Tabellen auf der Seite von EU-PM als Excel-Files zum Download zur Verfügung.
https://www.ffg.at/Monitoring/Auswertungen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</si>
</sst>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 #,##0.00_-;\-&quot;€&quot;\ * #,##0.00_-;_-&quot;€&quot;\ * &quot;-&quot;??_-;_-@_-"/>
    <numFmt numFmtId="165" formatCode="#,##0.0"/>
    <numFmt numFmtId="166" formatCode="0.0%"/>
    <numFmt numFmtId="167" formatCode="#,###,##0"/>
    <numFmt numFmtId="168" formatCode="#,##0;#,##0;&quot;&quot;"/>
    <numFmt numFmtId="169" formatCode="#0&quot;%&quot;"/>
    <numFmt numFmtId="170" formatCode="_-* #,##0_-;\-* #,##0_-;_-* &quot;-&quot;??_-;_-@_-"/>
    <numFmt numFmtId="171" formatCode=";;;"/>
    <numFmt numFmtId="172" formatCode="#,##0.00\ &quot;€&quot;"/>
    <numFmt numFmtId="173" formatCode="0.0"/>
    <numFmt numFmtId="174" formatCode="0.000"/>
  </numFmts>
  <fonts count="85">
    <font>
      <sz val="11"/>
      <color rgb="FF000000"/>
      <name val="Calibri"/>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rgb="FF000000"/>
      <name val="Calibri"/>
      <family val="2"/>
    </font>
    <font>
      <sz val="11"/>
      <color rgb="FF000000"/>
      <name val="Calibri"/>
      <family val="2"/>
    </font>
    <font>
      <sz val="11"/>
      <color rgb="FF000000"/>
      <name val="Calibri"/>
      <family val="2"/>
    </font>
    <font>
      <sz val="10"/>
      <color rgb="FF565656"/>
      <name val="Arial"/>
      <family val="2"/>
    </font>
    <font>
      <sz val="11"/>
      <color rgb="FF000000"/>
      <name val="Calibri"/>
      <family val="2"/>
    </font>
    <font>
      <sz val="11"/>
      <name val="Calibri"/>
      <family val="2"/>
    </font>
    <font>
      <sz val="11"/>
      <color indexed="9"/>
      <name val="Calibri"/>
      <family val="2"/>
    </font>
    <font>
      <b/>
      <sz val="10"/>
      <color indexed="9"/>
      <name val="Arial"/>
      <family val="2"/>
    </font>
    <font>
      <sz val="11"/>
      <color theme="0"/>
      <name val="Calibri"/>
      <family val="2"/>
    </font>
    <font>
      <sz val="10"/>
      <name val="Arial"/>
      <family val="2"/>
    </font>
    <font>
      <sz val="11"/>
      <color rgb="FF000000"/>
      <name val="Calibri"/>
      <family val="2"/>
    </font>
    <font>
      <sz val="10"/>
      <color theme="1"/>
      <name val="Calibri"/>
      <family val="2"/>
      <scheme val="minor"/>
    </font>
    <font>
      <b/>
      <sz val="10"/>
      <color theme="1"/>
      <name val="Calibri"/>
      <family val="2"/>
      <scheme val="minor"/>
    </font>
    <font>
      <sz val="10"/>
      <color theme="0"/>
      <name val="Calibri"/>
      <family val="2"/>
      <scheme val="minor"/>
    </font>
    <font>
      <sz val="20"/>
      <color theme="3"/>
      <name val="Cambria"/>
      <family val="2"/>
      <scheme val="major"/>
    </font>
    <font>
      <sz val="14"/>
      <color theme="1"/>
      <name val="Calibri"/>
      <family val="2"/>
      <scheme val="minor"/>
    </font>
    <font>
      <b/>
      <sz val="20"/>
      <color theme="3"/>
      <name val="Calibri"/>
      <family val="2"/>
      <scheme val="minor"/>
    </font>
    <font>
      <sz val="11"/>
      <color theme="0"/>
      <name val="Calibri"/>
      <family val="2"/>
      <scheme val="minor"/>
    </font>
    <font>
      <sz val="11"/>
      <name val="Calibri"/>
      <family val="2"/>
      <scheme val="minor"/>
    </font>
    <font>
      <sz val="9"/>
      <name val="Calibri"/>
      <family val="2"/>
      <scheme val="minor"/>
    </font>
    <font>
      <sz val="14"/>
      <color theme="4"/>
      <name val="Calibri"/>
      <family val="2"/>
      <scheme val="minor"/>
    </font>
    <font>
      <b/>
      <sz val="11"/>
      <name val="Calibri"/>
      <family val="2"/>
      <scheme val="minor"/>
    </font>
    <font>
      <sz val="18"/>
      <color theme="4"/>
      <name val="Calibri"/>
      <family val="2"/>
      <scheme val="minor"/>
    </font>
    <font>
      <sz val="12"/>
      <name val="Calibri"/>
      <family val="2"/>
      <scheme val="minor"/>
    </font>
    <font>
      <sz val="18"/>
      <name val="Calibri"/>
      <family val="2"/>
      <scheme val="minor"/>
    </font>
    <font>
      <sz val="14"/>
      <name val="Calibri"/>
      <family val="2"/>
      <scheme val="minor"/>
    </font>
    <font>
      <sz val="10"/>
      <name val="Calibri"/>
      <family val="2"/>
      <scheme val="minor"/>
    </font>
    <font>
      <sz val="11"/>
      <color rgb="FF000000"/>
      <name val="Calibri"/>
      <family val="2"/>
      <scheme val="minor"/>
    </font>
    <font>
      <b/>
      <sz val="18"/>
      <color theme="4"/>
      <name val="Calibri"/>
      <family val="2"/>
      <scheme val="minor"/>
    </font>
    <font>
      <b/>
      <sz val="18"/>
      <color rgb="FFE34623"/>
      <name val="Calibri"/>
      <family val="2"/>
      <scheme val="minor"/>
    </font>
    <font>
      <sz val="8"/>
      <name val="Calibri"/>
      <family val="2"/>
      <scheme val="minor"/>
    </font>
    <font>
      <sz val="10"/>
      <color rgb="FF000000"/>
      <name val="Calibri"/>
      <family val="2"/>
      <scheme val="minor"/>
    </font>
    <font>
      <b/>
      <sz val="10"/>
      <name val="Calibri"/>
      <family val="2"/>
      <scheme val="minor"/>
    </font>
    <font>
      <sz val="14"/>
      <color rgb="FFE34522"/>
      <name val="Calibri"/>
      <family val="2"/>
      <scheme val="minor"/>
    </font>
    <font>
      <sz val="14"/>
      <color rgb="FF565656"/>
      <name val="Calibri"/>
      <family val="2"/>
      <scheme val="minor"/>
    </font>
    <font>
      <sz val="11"/>
      <color rgb="FF575757"/>
      <name val="Calibri"/>
      <family val="2"/>
      <scheme val="minor"/>
    </font>
    <font>
      <sz val="10"/>
      <color rgb="FF575757"/>
      <name val="Calibri"/>
      <family val="2"/>
      <scheme val="minor"/>
    </font>
    <font>
      <sz val="11"/>
      <color theme="4"/>
      <name val="Calibri"/>
      <family val="2"/>
      <scheme val="minor"/>
    </font>
    <font>
      <sz val="12"/>
      <color theme="4"/>
      <name val="Calibri"/>
      <family val="2"/>
      <scheme val="minor"/>
    </font>
    <font>
      <sz val="11"/>
      <color rgb="FFFFFFFF"/>
      <name val="Calibri"/>
      <family val="2"/>
      <scheme val="minor"/>
    </font>
    <font>
      <sz val="16"/>
      <color theme="4"/>
      <name val="Calibri"/>
      <family val="2"/>
      <scheme val="minor"/>
    </font>
    <font>
      <sz val="9"/>
      <color rgb="FF575757"/>
      <name val="Calibri"/>
      <family val="2"/>
      <scheme val="minor"/>
    </font>
    <font>
      <sz val="16"/>
      <name val="Calibri"/>
      <family val="2"/>
      <scheme val="minor"/>
    </font>
    <font>
      <sz val="8"/>
      <color rgb="FF445862"/>
      <name val="Calibri"/>
      <family val="2"/>
      <scheme val="minor"/>
    </font>
    <font>
      <sz val="11"/>
      <color rgb="FF565656"/>
      <name val="Calibri"/>
      <family val="2"/>
      <scheme val="minor"/>
    </font>
    <font>
      <b/>
      <sz val="11"/>
      <color rgb="FF575757"/>
      <name val="Calibri"/>
      <family val="2"/>
      <scheme val="minor"/>
    </font>
    <font>
      <sz val="11"/>
      <color rgb="FFFAFAFA"/>
      <name val="Calibri"/>
      <family val="2"/>
      <scheme val="minor"/>
    </font>
    <font>
      <sz val="8"/>
      <color rgb="FF575757"/>
      <name val="Calibri"/>
      <family val="2"/>
      <scheme val="minor"/>
    </font>
    <font>
      <sz val="16"/>
      <color rgb="FFE34522"/>
      <name val="Calibri"/>
      <family val="2"/>
      <scheme val="minor"/>
    </font>
    <font>
      <sz val="12"/>
      <color rgb="FF575757"/>
      <name val="Calibri"/>
      <family val="2"/>
      <scheme val="minor"/>
    </font>
    <font>
      <b/>
      <sz val="14"/>
      <color theme="4"/>
      <name val="Calibri"/>
      <family val="2"/>
      <scheme val="minor"/>
    </font>
    <font>
      <b/>
      <sz val="14"/>
      <color rgb="FFE34723"/>
      <name val="Calibri"/>
      <family val="2"/>
      <scheme val="minor"/>
    </font>
    <font>
      <b/>
      <sz val="18"/>
      <name val="Calibri"/>
      <family val="2"/>
      <scheme val="minor"/>
    </font>
    <font>
      <b/>
      <sz val="12"/>
      <name val="Calibri"/>
      <family val="2"/>
      <scheme val="minor"/>
    </font>
    <font>
      <b/>
      <sz val="11"/>
      <color theme="0"/>
      <name val="Calibri"/>
      <family val="2"/>
      <scheme val="minor"/>
    </font>
    <font>
      <sz val="11"/>
      <color rgb="FF000000"/>
      <name val="Calibri"/>
      <family val="2"/>
    </font>
    <font>
      <sz val="28"/>
      <name val="Webdings"/>
      <family val="1"/>
      <charset val="2"/>
    </font>
    <font>
      <b/>
      <sz val="22"/>
      <name val="Calibri"/>
      <family val="2"/>
      <scheme val="minor"/>
    </font>
    <font>
      <b/>
      <sz val="36"/>
      <name val="Calibri"/>
      <family val="2"/>
      <scheme val="minor"/>
    </font>
    <font>
      <b/>
      <sz val="28"/>
      <name val="Calibri"/>
      <family val="2"/>
      <scheme val="minor"/>
    </font>
    <font>
      <b/>
      <sz val="12"/>
      <color theme="0"/>
      <name val="Calibri"/>
      <family val="2"/>
      <scheme val="minor"/>
    </font>
    <font>
      <sz val="12"/>
      <color rgb="FF000000"/>
      <name val="Calibri"/>
      <family val="2"/>
    </font>
    <font>
      <sz val="12"/>
      <color rgb="FF000000"/>
      <name val="Calibri"/>
      <family val="2"/>
      <scheme val="minor"/>
    </font>
    <font>
      <b/>
      <sz val="24"/>
      <name val="Calibri"/>
      <family val="2"/>
      <scheme val="minor"/>
    </font>
    <font>
      <sz val="12"/>
      <color theme="0"/>
      <name val="Calibri"/>
      <family val="2"/>
      <scheme val="minor"/>
    </font>
    <font>
      <b/>
      <sz val="11"/>
      <color theme="1"/>
      <name val="Calibri"/>
      <family val="2"/>
      <scheme val="minor"/>
    </font>
    <font>
      <sz val="9"/>
      <color theme="0" tint="-0.499984740745262"/>
      <name val="Calibri"/>
      <family val="2"/>
      <scheme val="minor"/>
    </font>
    <font>
      <b/>
      <sz val="11"/>
      <color rgb="FF000000"/>
      <name val="Calibri"/>
      <family val="2"/>
      <scheme val="minor"/>
    </font>
    <font>
      <i/>
      <sz val="11"/>
      <color theme="0" tint="-0.249977111117893"/>
      <name val="Calibri"/>
      <family val="2"/>
      <scheme val="minor"/>
    </font>
    <font>
      <b/>
      <sz val="14"/>
      <name val="Calibri"/>
      <family val="2"/>
      <scheme val="minor"/>
    </font>
    <font>
      <b/>
      <sz val="16"/>
      <color theme="4" tint="-0.499984740745262"/>
      <name val="Calibri"/>
      <family val="2"/>
    </font>
    <font>
      <b/>
      <sz val="11"/>
      <color rgb="FF000000"/>
      <name val="Calibri"/>
      <family val="2"/>
    </font>
    <font>
      <b/>
      <sz val="11"/>
      <color theme="0"/>
      <name val="Calibri"/>
      <family val="2"/>
    </font>
    <font>
      <sz val="11"/>
      <color rgb="FF000000"/>
      <name val="Calibri"/>
      <family val="2"/>
    </font>
    <font>
      <sz val="9"/>
      <name val="Calibri"/>
      <family val="2"/>
    </font>
    <font>
      <u/>
      <sz val="11"/>
      <color theme="10"/>
      <name val="Calibri"/>
      <family val="2"/>
    </font>
    <font>
      <b/>
      <sz val="11"/>
      <name val="Calibri"/>
      <family val="2"/>
    </font>
    <font>
      <sz val="14"/>
      <color rgb="FF000000"/>
      <name val="Calibri"/>
      <family val="2"/>
    </font>
    <font>
      <sz val="11"/>
      <name val="Calibri"/>
      <family val="2"/>
    </font>
    <font>
      <sz val="11"/>
      <name val="Calibri"/>
    </font>
  </fonts>
  <fills count="18">
    <fill>
      <patternFill patternType="none"/>
    </fill>
    <fill>
      <patternFill patternType="gray125"/>
    </fill>
    <fill>
      <patternFill patternType="solid">
        <fgColor rgb="FFFAFAFA"/>
      </patternFill>
    </fill>
    <fill>
      <patternFill patternType="none"/>
    </fill>
    <fill>
      <patternFill patternType="solid">
        <fgColor rgb="FF366092"/>
      </patternFill>
    </fill>
    <fill>
      <patternFill patternType="solid">
        <fgColor theme="5"/>
        <bgColor indexed="64"/>
      </patternFill>
    </fill>
    <fill>
      <patternFill patternType="solid">
        <fgColor rgb="FFE5EBF3"/>
        <bgColor indexed="64"/>
      </patternFill>
    </fill>
    <fill>
      <patternFill patternType="solid">
        <fgColor rgb="FFB5C5D1"/>
        <bgColor indexed="64"/>
      </patternFill>
    </fill>
    <fill>
      <patternFill patternType="solid">
        <fgColor rgb="FF7E939B"/>
        <bgColor indexed="64"/>
      </patternFill>
    </fill>
    <fill>
      <patternFill patternType="solid">
        <fgColor rgb="FF006699"/>
        <bgColor indexed="64"/>
      </patternFill>
    </fill>
    <fill>
      <patternFill patternType="solid">
        <fgColor indexed="9"/>
        <bgColor indexed="64"/>
      </patternFill>
    </fill>
    <fill>
      <patternFill patternType="solid">
        <fgColor theme="4"/>
        <bgColor indexed="64"/>
      </patternFill>
    </fill>
    <fill>
      <patternFill patternType="solid">
        <fgColor theme="4"/>
      </patternFill>
    </fill>
    <fill>
      <patternFill patternType="solid">
        <fgColor theme="9"/>
      </patternFill>
    </fill>
    <fill>
      <patternFill patternType="solid">
        <fgColor theme="9"/>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s>
  <borders count="40">
    <border>
      <left/>
      <right/>
      <top/>
      <bottom/>
      <diagonal/>
    </border>
    <border>
      <left/>
      <right style="thin">
        <color rgb="FFFFFFFF"/>
      </right>
      <top/>
      <bottom/>
      <diagonal/>
    </border>
    <border>
      <left/>
      <right/>
      <top/>
      <bottom style="thin">
        <color rgb="FFE0E0E0"/>
      </bottom>
      <diagonal/>
    </border>
    <border>
      <left style="dotted">
        <color rgb="FFD1D8E5"/>
      </left>
      <right style="dotted">
        <color rgb="FFD1D8E5"/>
      </right>
      <top style="dotted">
        <color rgb="FFD1D8E5"/>
      </top>
      <bottom style="dotted">
        <color rgb="FFD1D8E5"/>
      </bottom>
      <diagonal/>
    </border>
    <border>
      <left style="thin">
        <color rgb="FFFFFFFF"/>
      </left>
      <right/>
      <top/>
      <bottom/>
      <diagonal/>
    </border>
    <border>
      <left style="thin">
        <color rgb="FFFFFFFF"/>
      </left>
      <right style="thin">
        <color rgb="FFFFFFFF"/>
      </right>
      <top/>
      <bottom/>
      <diagonal/>
    </border>
    <border>
      <left/>
      <right/>
      <top/>
      <bottom style="medium">
        <color rgb="FFFFFFFF"/>
      </bottom>
      <diagonal/>
    </border>
    <border>
      <left/>
      <right style="medium">
        <color rgb="FFFFFFFF"/>
      </right>
      <top/>
      <bottom/>
      <diagonal/>
    </border>
    <border>
      <left style="hair">
        <color indexed="55"/>
      </left>
      <right style="hair">
        <color indexed="55"/>
      </right>
      <top style="hair">
        <color indexed="55"/>
      </top>
      <bottom style="hair">
        <color indexed="55"/>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dotted">
        <color rgb="FFD1D8E5"/>
      </left>
      <right/>
      <top style="dotted">
        <color rgb="FFD1D8E5"/>
      </top>
      <bottom style="dotted">
        <color rgb="FFD1D8E5"/>
      </bottom>
      <diagonal/>
    </border>
    <border>
      <left/>
      <right/>
      <top/>
      <bottom style="thin">
        <color auto="1"/>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theme="0"/>
      </bottom>
      <diagonal/>
    </border>
    <border>
      <left/>
      <right/>
      <top style="thin">
        <color auto="1"/>
      </top>
      <bottom style="hair">
        <color auto="1"/>
      </bottom>
      <diagonal/>
    </border>
    <border>
      <left/>
      <right/>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style="thin">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s>
  <cellStyleXfs count="50">
    <xf numFmtId="0" fontId="0" fillId="4" borderId="0"/>
    <xf numFmtId="43" fontId="5" fillId="0" borderId="0" applyFont="0" applyFill="0" applyBorder="0" applyAlignment="0" applyProtection="0"/>
    <xf numFmtId="9" fontId="5" fillId="0" borderId="0" applyFont="0" applyFill="0" applyBorder="0" applyAlignment="0" applyProtection="0"/>
    <xf numFmtId="0" fontId="6" fillId="4" borderId="0"/>
    <xf numFmtId="0" fontId="6" fillId="3" borderId="0"/>
    <xf numFmtId="0" fontId="7" fillId="3" borderId="0"/>
    <xf numFmtId="43" fontId="5" fillId="3" borderId="0" applyFont="0" applyFill="0" applyBorder="0" applyAlignment="0" applyProtection="0"/>
    <xf numFmtId="0" fontId="5" fillId="4" borderId="0"/>
    <xf numFmtId="9" fontId="4" fillId="3" borderId="0" applyFont="0" applyFill="0" applyBorder="0" applyAlignment="0" applyProtection="0"/>
    <xf numFmtId="0" fontId="4" fillId="3" borderId="0"/>
    <xf numFmtId="0" fontId="9" fillId="4" borderId="0"/>
    <xf numFmtId="0" fontId="3" fillId="3" borderId="0"/>
    <xf numFmtId="9" fontId="3" fillId="3" borderId="0" applyFont="0" applyFill="0" applyBorder="0" applyAlignment="0" applyProtection="0"/>
    <xf numFmtId="0" fontId="10" fillId="6" borderId="0">
      <alignment horizontal="left"/>
    </xf>
    <xf numFmtId="0" fontId="10" fillId="7" borderId="0">
      <alignment horizontal="left"/>
    </xf>
    <xf numFmtId="0" fontId="11" fillId="8" borderId="0">
      <alignment horizontal="left"/>
    </xf>
    <xf numFmtId="0" fontId="10" fillId="6" borderId="0">
      <alignment horizontal="left"/>
    </xf>
    <xf numFmtId="0" fontId="10" fillId="7" borderId="0">
      <alignment horizontal="left"/>
    </xf>
    <xf numFmtId="0" fontId="11" fillId="8" borderId="0">
      <alignment horizontal="left"/>
    </xf>
    <xf numFmtId="171" fontId="10" fillId="3" borderId="0">
      <alignment horizontal="left"/>
    </xf>
    <xf numFmtId="171" fontId="12" fillId="3" borderId="0">
      <alignment horizontal="left"/>
    </xf>
    <xf numFmtId="0" fontId="13" fillId="9" borderId="0"/>
    <xf numFmtId="171" fontId="10" fillId="3" borderId="0"/>
    <xf numFmtId="171" fontId="12" fillId="3" borderId="0"/>
    <xf numFmtId="49" fontId="10" fillId="6" borderId="0">
      <alignment horizontal="left"/>
    </xf>
    <xf numFmtId="49" fontId="13" fillId="8" borderId="0">
      <alignment horizontal="left"/>
    </xf>
    <xf numFmtId="49" fontId="11" fillId="9" borderId="0">
      <alignment horizontal="left"/>
    </xf>
    <xf numFmtId="3" fontId="14" fillId="10" borderId="8"/>
    <xf numFmtId="0" fontId="10" fillId="6" borderId="0">
      <alignment horizontal="left"/>
    </xf>
    <xf numFmtId="49" fontId="10" fillId="6" borderId="0">
      <alignment horizontal="left"/>
    </xf>
    <xf numFmtId="49" fontId="13" fillId="8" borderId="0">
      <alignment horizontal="left"/>
    </xf>
    <xf numFmtId="49" fontId="11" fillId="9" borderId="0">
      <alignment horizontal="left"/>
    </xf>
    <xf numFmtId="164" fontId="15" fillId="0" borderId="0" applyFont="0" applyFill="0" applyBorder="0" applyAlignment="0" applyProtection="0"/>
    <xf numFmtId="0" fontId="5" fillId="3" borderId="0"/>
    <xf numFmtId="3" fontId="16" fillId="3" borderId="0"/>
    <xf numFmtId="172" fontId="16" fillId="3" borderId="0" applyFill="0" applyBorder="0" applyProtection="0"/>
    <xf numFmtId="14" fontId="17" fillId="3" borderId="0">
      <alignment horizontal="left"/>
    </xf>
    <xf numFmtId="10" fontId="16" fillId="3" borderId="0" applyFill="0" applyBorder="0" applyProtection="0"/>
    <xf numFmtId="4" fontId="16" fillId="3" borderId="0" applyFill="0" applyBorder="0" applyProtection="0"/>
    <xf numFmtId="0" fontId="18" fillId="12" borderId="0" applyNumberFormat="0" applyBorder="0" applyAlignment="0" applyProtection="0"/>
    <xf numFmtId="0" fontId="18" fillId="13" borderId="0" applyNumberFormat="0" applyBorder="0" applyAlignment="0" applyProtection="0"/>
    <xf numFmtId="3" fontId="19" fillId="3" borderId="0"/>
    <xf numFmtId="0" fontId="60" fillId="3" borderId="0"/>
    <xf numFmtId="0" fontId="60" fillId="3" borderId="0"/>
    <xf numFmtId="0" fontId="60" fillId="3" borderId="0"/>
    <xf numFmtId="0" fontId="1" fillId="3" borderId="0"/>
    <xf numFmtId="9" fontId="1" fillId="3" borderId="0" applyFont="0" applyFill="0" applyBorder="0" applyAlignment="0" applyProtection="0"/>
    <xf numFmtId="0" fontId="78" fillId="3" borderId="0" applyNumberFormat="0" applyFont="0" applyFill="0" applyBorder="0" applyAlignment="0" applyProtection="0"/>
    <xf numFmtId="0" fontId="80" fillId="4" borderId="0" applyNumberFormat="0" applyFill="0" applyBorder="0" applyAlignment="0" applyProtection="0"/>
    <xf numFmtId="0" fontId="5" fillId="3" borderId="0" applyNumberFormat="0" applyFont="0" applyFill="0" applyBorder="0" applyAlignment="0" applyProtection="0"/>
  </cellStyleXfs>
  <cellXfs count="764">
    <xf numFmtId="0" fontId="0" fillId="0" borderId="0" xfId="0" applyFill="1"/>
    <xf numFmtId="3" fontId="17" fillId="3" borderId="0" xfId="34" applyFont="1"/>
    <xf numFmtId="3" fontId="17" fillId="3" borderId="0" xfId="34" applyFont="1" applyAlignment="1">
      <alignment horizontal="right"/>
    </xf>
    <xf numFmtId="3" fontId="16" fillId="3" borderId="0" xfId="34"/>
    <xf numFmtId="172" fontId="16" fillId="3" borderId="0" xfId="35"/>
    <xf numFmtId="3" fontId="17" fillId="3" borderId="0" xfId="34" applyFont="1" applyAlignment="1">
      <alignment horizontal="center"/>
    </xf>
    <xf numFmtId="14" fontId="17" fillId="3" borderId="0" xfId="36">
      <alignment horizontal="left"/>
    </xf>
    <xf numFmtId="172" fontId="0" fillId="3" borderId="0" xfId="35" applyFont="1"/>
    <xf numFmtId="10" fontId="16" fillId="3" borderId="0" xfId="37"/>
    <xf numFmtId="4" fontId="16" fillId="3" borderId="0" xfId="38"/>
    <xf numFmtId="3" fontId="16" fillId="3" borderId="0" xfId="34" applyAlignment="1">
      <alignment horizontal="center"/>
    </xf>
    <xf numFmtId="3" fontId="18" fillId="3" borderId="0" xfId="39" applyNumberFormat="1" applyFill="1" applyAlignment="1">
      <alignment horizontal="center"/>
    </xf>
    <xf numFmtId="3" fontId="18" fillId="3" borderId="0" xfId="40" applyNumberFormat="1" applyFill="1" applyAlignment="1">
      <alignment horizontal="center"/>
    </xf>
    <xf numFmtId="3" fontId="8" fillId="3" borderId="0" xfId="34" applyFont="1"/>
    <xf numFmtId="3" fontId="16" fillId="3" borderId="0" xfId="34" applyAlignment="1">
      <alignment horizontal="left"/>
    </xf>
    <xf numFmtId="3" fontId="20" fillId="3" borderId="0" xfId="34" applyFont="1" applyAlignment="1">
      <alignment horizontal="right"/>
    </xf>
    <xf numFmtId="3" fontId="21" fillId="3" borderId="0" xfId="41" applyFont="1"/>
    <xf numFmtId="0" fontId="23" fillId="0" borderId="0" xfId="5" applyFont="1" applyFill="1"/>
    <xf numFmtId="0" fontId="24" fillId="0" borderId="0" xfId="5" applyFont="1" applyFill="1"/>
    <xf numFmtId="0" fontId="26" fillId="0" borderId="0" xfId="5" applyFont="1" applyFill="1"/>
    <xf numFmtId="0" fontId="23" fillId="0" borderId="0" xfId="5" applyFont="1" applyFill="1" applyBorder="1"/>
    <xf numFmtId="0" fontId="24" fillId="0" borderId="0" xfId="5" applyFont="1" applyFill="1" applyBorder="1" applyAlignment="1">
      <alignment wrapText="1"/>
    </xf>
    <xf numFmtId="0" fontId="24" fillId="0" borderId="6" xfId="5" applyFont="1" applyFill="1" applyBorder="1" applyAlignment="1">
      <alignment horizontal="center" wrapText="1"/>
    </xf>
    <xf numFmtId="0" fontId="24" fillId="0" borderId="7" xfId="5" applyFont="1" applyFill="1" applyBorder="1" applyAlignment="1">
      <alignment horizontal="center" wrapText="1"/>
    </xf>
    <xf numFmtId="43" fontId="24" fillId="0" borderId="0" xfId="6" applyFont="1" applyFill="1"/>
    <xf numFmtId="0" fontId="24" fillId="0" borderId="0" xfId="5" applyFont="1" applyFill="1" applyBorder="1" applyAlignment="1">
      <alignment horizontal="center" wrapText="1"/>
    </xf>
    <xf numFmtId="0" fontId="26" fillId="0" borderId="0" xfId="5" applyFont="1" applyFill="1" applyBorder="1"/>
    <xf numFmtId="9" fontId="27" fillId="0" borderId="0" xfId="5" applyNumberFormat="1" applyFont="1" applyFill="1" applyBorder="1" applyAlignment="1">
      <alignment horizontal="center" vertical="center"/>
    </xf>
    <xf numFmtId="0" fontId="27" fillId="0" borderId="0" xfId="5" applyFont="1" applyFill="1" applyBorder="1" applyAlignment="1">
      <alignment horizontal="center" vertical="center"/>
    </xf>
    <xf numFmtId="173" fontId="24" fillId="0" borderId="0" xfId="5" applyNumberFormat="1" applyFont="1" applyFill="1"/>
    <xf numFmtId="0" fontId="31" fillId="0" borderId="0" xfId="5" applyFont="1" applyFill="1" applyBorder="1" applyAlignment="1">
      <alignment horizontal="center" vertical="top" wrapText="1"/>
    </xf>
    <xf numFmtId="0" fontId="31" fillId="0" borderId="7" xfId="5" applyFont="1" applyFill="1" applyBorder="1" applyAlignment="1">
      <alignment horizontal="center" wrapText="1"/>
    </xf>
    <xf numFmtId="0" fontId="31" fillId="0" borderId="0" xfId="5" applyFont="1" applyFill="1" applyBorder="1"/>
    <xf numFmtId="0" fontId="31" fillId="0" borderId="6" xfId="5" applyFont="1" applyFill="1" applyBorder="1" applyAlignment="1">
      <alignment horizontal="center" wrapText="1"/>
    </xf>
    <xf numFmtId="0" fontId="32" fillId="0" borderId="0" xfId="0" applyFont="1" applyFill="1" applyAlignment="1">
      <alignment wrapText="1"/>
    </xf>
    <xf numFmtId="0" fontId="32" fillId="0" borderId="0" xfId="0" applyFont="1" applyFill="1"/>
    <xf numFmtId="4" fontId="33" fillId="0" borderId="0" xfId="0" applyNumberFormat="1" applyFont="1" applyFill="1" applyAlignment="1"/>
    <xf numFmtId="4" fontId="27" fillId="0" borderId="0" xfId="0" applyNumberFormat="1" applyFont="1" applyFill="1" applyAlignment="1"/>
    <xf numFmtId="4" fontId="34" fillId="0" borderId="0" xfId="0" applyNumberFormat="1" applyFont="1" applyFill="1"/>
    <xf numFmtId="0" fontId="32" fillId="2" borderId="0" xfId="0" applyFont="1" applyFill="1"/>
    <xf numFmtId="0" fontId="32" fillId="0" borderId="0" xfId="0" applyFont="1" applyFill="1" applyBorder="1"/>
    <xf numFmtId="0" fontId="23" fillId="0" borderId="0" xfId="0" applyFont="1" applyFill="1"/>
    <xf numFmtId="4" fontId="23" fillId="0" borderId="0" xfId="0" applyNumberFormat="1" applyFont="1" applyFill="1"/>
    <xf numFmtId="4" fontId="35" fillId="0" borderId="0" xfId="0" applyNumberFormat="1" applyFont="1" applyFill="1" applyAlignment="1">
      <alignment horizontal="right"/>
    </xf>
    <xf numFmtId="0" fontId="36" fillId="0" borderId="0" xfId="0" applyFont="1" applyFill="1"/>
    <xf numFmtId="4" fontId="24" fillId="0" borderId="0" xfId="0" applyNumberFormat="1" applyFont="1" applyFill="1" applyAlignment="1">
      <alignment horizontal="right"/>
    </xf>
    <xf numFmtId="0" fontId="24" fillId="0" borderId="0" xfId="0" applyFont="1" applyFill="1" applyAlignment="1">
      <alignment horizontal="right"/>
    </xf>
    <xf numFmtId="0" fontId="31" fillId="0" borderId="0" xfId="0" applyFont="1" applyFill="1"/>
    <xf numFmtId="4" fontId="31" fillId="0" borderId="0" xfId="0" applyNumberFormat="1" applyFont="1" applyFill="1"/>
    <xf numFmtId="4" fontId="31" fillId="0" borderId="0" xfId="0" applyNumberFormat="1" applyFont="1" applyFill="1" applyAlignment="1">
      <alignment horizontal="right"/>
    </xf>
    <xf numFmtId="0" fontId="31" fillId="0" borderId="0" xfId="0" applyFont="1" applyFill="1" applyAlignment="1">
      <alignment horizontal="right"/>
    </xf>
    <xf numFmtId="4" fontId="38" fillId="0" borderId="0" xfId="0" applyNumberFormat="1" applyFont="1" applyFill="1"/>
    <xf numFmtId="0" fontId="38" fillId="0" borderId="0" xfId="0" applyFont="1" applyFill="1"/>
    <xf numFmtId="0" fontId="39" fillId="0" borderId="0" xfId="0" applyFont="1" applyFill="1"/>
    <xf numFmtId="4" fontId="41" fillId="0" borderId="0" xfId="0" applyNumberFormat="1" applyFont="1" applyFill="1"/>
    <xf numFmtId="0" fontId="40" fillId="0" borderId="0" xfId="0" applyFont="1" applyFill="1"/>
    <xf numFmtId="166" fontId="40" fillId="0" borderId="3" xfId="0" applyNumberFormat="1" applyFont="1" applyFill="1" applyBorder="1"/>
    <xf numFmtId="3" fontId="40" fillId="0" borderId="3" xfId="0" applyNumberFormat="1" applyFont="1" applyFill="1" applyBorder="1"/>
    <xf numFmtId="165" fontId="40" fillId="0" borderId="3" xfId="0" applyNumberFormat="1" applyFont="1" applyFill="1" applyBorder="1"/>
    <xf numFmtId="3" fontId="40" fillId="0" borderId="12" xfId="0" applyNumberFormat="1" applyFont="1" applyFill="1" applyBorder="1"/>
    <xf numFmtId="0" fontId="41" fillId="0" borderId="0" xfId="0" applyFont="1" applyFill="1"/>
    <xf numFmtId="0" fontId="32" fillId="3" borderId="0" xfId="0" applyFont="1" applyFill="1"/>
    <xf numFmtId="0" fontId="23" fillId="3" borderId="0" xfId="0" applyFont="1" applyFill="1"/>
    <xf numFmtId="0" fontId="42" fillId="0" borderId="0" xfId="0" applyFont="1" applyFill="1"/>
    <xf numFmtId="0" fontId="43" fillId="0" borderId="0" xfId="0" applyFont="1" applyFill="1" applyAlignment="1"/>
    <xf numFmtId="4" fontId="40" fillId="0" borderId="0" xfId="0" applyNumberFormat="1" applyFont="1" applyFill="1"/>
    <xf numFmtId="3" fontId="40" fillId="0" borderId="0" xfId="0" applyNumberFormat="1" applyFont="1" applyFill="1"/>
    <xf numFmtId="3" fontId="23" fillId="0" borderId="3" xfId="0" applyNumberFormat="1" applyFont="1" applyFill="1" applyBorder="1"/>
    <xf numFmtId="4" fontId="32" fillId="0" borderId="0" xfId="0" applyNumberFormat="1" applyFont="1" applyFill="1"/>
    <xf numFmtId="9" fontId="32" fillId="0" borderId="0" xfId="2" applyFont="1" applyFill="1"/>
    <xf numFmtId="4" fontId="24" fillId="0" borderId="0" xfId="0" applyNumberFormat="1" applyFont="1" applyFill="1" applyAlignment="1"/>
    <xf numFmtId="0" fontId="24" fillId="0" borderId="0" xfId="0" applyFont="1" applyFill="1" applyAlignment="1"/>
    <xf numFmtId="0" fontId="32" fillId="0" borderId="0" xfId="3" applyFont="1" applyFill="1"/>
    <xf numFmtId="0" fontId="32" fillId="3" borderId="0" xfId="3" applyFont="1" applyFill="1"/>
    <xf numFmtId="0" fontId="23" fillId="0" borderId="0" xfId="3" applyFont="1" applyFill="1"/>
    <xf numFmtId="0" fontId="23" fillId="0" borderId="9" xfId="3" applyFont="1" applyFill="1" applyBorder="1" applyAlignment="1">
      <alignment horizontal="left" indent="1"/>
    </xf>
    <xf numFmtId="0" fontId="23" fillId="0" borderId="10" xfId="3" applyFont="1" applyFill="1" applyBorder="1" applyAlignment="1">
      <alignment horizontal="left" indent="1"/>
    </xf>
    <xf numFmtId="0" fontId="23" fillId="0" borderId="11" xfId="3" applyFont="1" applyFill="1" applyBorder="1" applyAlignment="1">
      <alignment horizontal="left" indent="1"/>
    </xf>
    <xf numFmtId="0" fontId="32" fillId="0" borderId="0" xfId="4" applyFont="1" applyFill="1"/>
    <xf numFmtId="0" fontId="32" fillId="3" borderId="0" xfId="4" applyFont="1"/>
    <xf numFmtId="0" fontId="40" fillId="0" borderId="0" xfId="3" applyFont="1" applyFill="1"/>
    <xf numFmtId="4" fontId="40" fillId="0" borderId="0" xfId="3" applyNumberFormat="1" applyFont="1" applyFill="1"/>
    <xf numFmtId="0" fontId="51" fillId="0" borderId="0" xfId="3" applyFont="1" applyFill="1"/>
    <xf numFmtId="0" fontId="40" fillId="0" borderId="0" xfId="3" applyFont="1" applyFill="1" applyAlignment="1">
      <alignment horizontal="left"/>
    </xf>
    <xf numFmtId="0" fontId="51" fillId="0" borderId="0" xfId="3" applyFont="1" applyFill="1" applyAlignment="1">
      <alignment horizontal="left"/>
    </xf>
    <xf numFmtId="4" fontId="40" fillId="0" borderId="0" xfId="3" applyNumberFormat="1" applyFont="1" applyFill="1" applyAlignment="1">
      <alignment horizontal="left"/>
    </xf>
    <xf numFmtId="3" fontId="52" fillId="0" borderId="0" xfId="3" applyNumberFormat="1" applyFont="1" applyFill="1" applyAlignment="1">
      <alignment horizontal="left"/>
    </xf>
    <xf numFmtId="168" fontId="52" fillId="0" borderId="0" xfId="3" applyNumberFormat="1" applyFont="1" applyFill="1" applyAlignment="1">
      <alignment horizontal="left"/>
    </xf>
    <xf numFmtId="0" fontId="40" fillId="3" borderId="0" xfId="3" applyFont="1" applyFill="1"/>
    <xf numFmtId="4" fontId="24" fillId="0" borderId="0" xfId="3" applyNumberFormat="1" applyFont="1" applyFill="1" applyAlignment="1">
      <alignment horizontal="right"/>
    </xf>
    <xf numFmtId="4" fontId="46" fillId="0" borderId="0" xfId="3" applyNumberFormat="1" applyFont="1" applyFill="1" applyAlignment="1">
      <alignment horizontal="right"/>
    </xf>
    <xf numFmtId="3" fontId="46" fillId="3" borderId="0" xfId="3" applyNumberFormat="1" applyFont="1" applyFill="1" applyAlignment="1">
      <alignment horizontal="right"/>
    </xf>
    <xf numFmtId="4" fontId="46" fillId="3" borderId="0" xfId="3" applyNumberFormat="1" applyFont="1" applyFill="1" applyAlignment="1">
      <alignment horizontal="right"/>
    </xf>
    <xf numFmtId="169" fontId="46" fillId="0" borderId="0" xfId="3" applyNumberFormat="1" applyFont="1" applyFill="1" applyAlignment="1">
      <alignment horizontal="right"/>
    </xf>
    <xf numFmtId="3" fontId="32" fillId="3" borderId="0" xfId="0" applyNumberFormat="1" applyFont="1" applyFill="1"/>
    <xf numFmtId="3" fontId="32" fillId="3" borderId="0" xfId="0" applyNumberFormat="1" applyFont="1" applyFill="1" applyAlignment="1">
      <alignment wrapText="1"/>
    </xf>
    <xf numFmtId="10" fontId="32" fillId="0" borderId="0" xfId="0" applyNumberFormat="1" applyFont="1" applyFill="1"/>
    <xf numFmtId="3" fontId="32" fillId="0" borderId="0" xfId="0" applyNumberFormat="1" applyFont="1" applyFill="1" applyAlignment="1">
      <alignment wrapText="1"/>
    </xf>
    <xf numFmtId="0" fontId="44" fillId="5" borderId="1" xfId="3" applyFont="1" applyFill="1" applyBorder="1" applyAlignment="1">
      <alignment horizontal="center"/>
    </xf>
    <xf numFmtId="0" fontId="44" fillId="5" borderId="5" xfId="3" applyFont="1" applyFill="1" applyBorder="1" applyAlignment="1">
      <alignment horizontal="center"/>
    </xf>
    <xf numFmtId="0" fontId="44" fillId="5" borderId="4" xfId="3" applyFont="1" applyFill="1" applyBorder="1" applyAlignment="1">
      <alignment horizontal="center"/>
    </xf>
    <xf numFmtId="3" fontId="23" fillId="0" borderId="0" xfId="3" applyNumberFormat="1" applyFont="1" applyFill="1" applyAlignment="1">
      <alignment horizontal="center"/>
    </xf>
    <xf numFmtId="0" fontId="44" fillId="11" borderId="1" xfId="3" applyFont="1" applyFill="1" applyBorder="1" applyAlignment="1">
      <alignment horizontal="center"/>
    </xf>
    <xf numFmtId="0" fontId="44" fillId="11" borderId="5" xfId="3" applyFont="1" applyFill="1" applyBorder="1" applyAlignment="1">
      <alignment horizontal="center"/>
    </xf>
    <xf numFmtId="0" fontId="44" fillId="11" borderId="4" xfId="3" applyFont="1" applyFill="1" applyBorder="1" applyAlignment="1">
      <alignment horizontal="center"/>
    </xf>
    <xf numFmtId="170" fontId="23" fillId="0" borderId="0" xfId="1" applyNumberFormat="1" applyFont="1" applyFill="1" applyAlignment="1">
      <alignment horizontal="center"/>
    </xf>
    <xf numFmtId="166" fontId="23" fillId="0" borderId="0" xfId="3" applyNumberFormat="1" applyFont="1" applyFill="1" applyAlignment="1">
      <alignment horizontal="center"/>
    </xf>
    <xf numFmtId="0" fontId="32" fillId="0" borderId="0" xfId="0" applyNumberFormat="1" applyFont="1" applyFill="1"/>
    <xf numFmtId="4" fontId="46" fillId="0" borderId="0" xfId="0" applyNumberFormat="1" applyFont="1" applyFill="1" applyAlignment="1">
      <alignment horizontal="right"/>
    </xf>
    <xf numFmtId="4" fontId="46" fillId="0" borderId="0" xfId="0" applyNumberFormat="1" applyFont="1" applyFill="1" applyAlignment="1">
      <alignment horizontal="center"/>
    </xf>
    <xf numFmtId="0" fontId="53" fillId="0" borderId="0" xfId="0" applyFont="1" applyFill="1"/>
    <xf numFmtId="0" fontId="45" fillId="0" borderId="0" xfId="0" applyFont="1" applyFill="1" applyAlignment="1"/>
    <xf numFmtId="4" fontId="46" fillId="2" borderId="0" xfId="0" applyNumberFormat="1" applyFont="1" applyFill="1" applyAlignment="1">
      <alignment horizontal="right"/>
    </xf>
    <xf numFmtId="0" fontId="46" fillId="3" borderId="0" xfId="0" applyFont="1" applyFill="1"/>
    <xf numFmtId="4" fontId="46" fillId="3" borderId="0" xfId="0" applyNumberFormat="1" applyFont="1" applyFill="1"/>
    <xf numFmtId="0" fontId="23" fillId="0" borderId="9" xfId="0" applyFont="1" applyFill="1" applyBorder="1"/>
    <xf numFmtId="4" fontId="33" fillId="0" borderId="0" xfId="4" applyNumberFormat="1" applyFont="1" applyFill="1" applyAlignment="1"/>
    <xf numFmtId="0" fontId="54" fillId="0" borderId="0" xfId="4" applyFont="1" applyFill="1" applyAlignment="1">
      <alignment wrapText="1"/>
    </xf>
    <xf numFmtId="0" fontId="23" fillId="0" borderId="0" xfId="0" applyFont="1" applyFill="1" applyBorder="1"/>
    <xf numFmtId="166" fontId="23" fillId="0" borderId="9" xfId="2" applyNumberFormat="1" applyFont="1" applyFill="1" applyBorder="1"/>
    <xf numFmtId="166" fontId="23" fillId="0" borderId="10" xfId="2" applyNumberFormat="1" applyFont="1" applyFill="1" applyBorder="1"/>
    <xf numFmtId="166" fontId="23" fillId="0" borderId="11" xfId="2" applyNumberFormat="1" applyFont="1" applyFill="1" applyBorder="1"/>
    <xf numFmtId="3" fontId="23" fillId="0" borderId="0" xfId="0" applyNumberFormat="1" applyFont="1" applyFill="1"/>
    <xf numFmtId="166" fontId="23" fillId="0" borderId="0" xfId="2" applyNumberFormat="1" applyFont="1" applyFill="1"/>
    <xf numFmtId="3" fontId="23" fillId="0" borderId="9" xfId="3" applyNumberFormat="1" applyFont="1" applyFill="1" applyBorder="1"/>
    <xf numFmtId="3" fontId="23" fillId="0" borderId="10" xfId="3" applyNumberFormat="1" applyFont="1" applyFill="1" applyBorder="1"/>
    <xf numFmtId="3" fontId="23" fillId="0" borderId="11" xfId="3" applyNumberFormat="1" applyFont="1" applyFill="1" applyBorder="1"/>
    <xf numFmtId="0" fontId="23" fillId="0" borderId="0" xfId="3" applyFont="1" applyFill="1" applyBorder="1" applyAlignment="1">
      <alignment indent="1"/>
    </xf>
    <xf numFmtId="0" fontId="22" fillId="0" borderId="0" xfId="3" applyFont="1" applyFill="1" applyBorder="1"/>
    <xf numFmtId="0" fontId="32" fillId="0" borderId="0" xfId="4" applyFont="1" applyFill="1" applyAlignment="1">
      <alignment wrapText="1"/>
    </xf>
    <xf numFmtId="0" fontId="55" fillId="0" borderId="0" xfId="4" applyFont="1" applyFill="1" applyAlignment="1"/>
    <xf numFmtId="0" fontId="56" fillId="0" borderId="0" xfId="4" applyFont="1" applyFill="1"/>
    <xf numFmtId="0" fontId="32" fillId="3" borderId="0" xfId="4" applyFont="1" applyFill="1" applyAlignment="1">
      <alignment wrapText="1"/>
    </xf>
    <xf numFmtId="0" fontId="26" fillId="3" borderId="9" xfId="4" applyFont="1" applyFill="1" applyBorder="1" applyAlignment="1">
      <alignment wrapText="1"/>
    </xf>
    <xf numFmtId="0" fontId="16" fillId="0" borderId="0" xfId="11" applyFont="1" applyFill="1"/>
    <xf numFmtId="0" fontId="16" fillId="0" borderId="0" xfId="11" applyFont="1" applyFill="1" applyAlignment="1">
      <alignment horizontal="right"/>
    </xf>
    <xf numFmtId="0" fontId="32" fillId="0" borderId="0" xfId="10" applyFont="1" applyFill="1"/>
    <xf numFmtId="4" fontId="32" fillId="0" borderId="0" xfId="10" applyNumberFormat="1" applyFont="1" applyFill="1"/>
    <xf numFmtId="165" fontId="48" fillId="0" borderId="0" xfId="10" applyNumberFormat="1" applyFont="1" applyFill="1"/>
    <xf numFmtId="3" fontId="32" fillId="0" borderId="0" xfId="10" applyNumberFormat="1" applyFont="1" applyFill="1"/>
    <xf numFmtId="165" fontId="16" fillId="0" borderId="0" xfId="11" applyNumberFormat="1" applyFont="1" applyFill="1"/>
    <xf numFmtId="0" fontId="16" fillId="0" borderId="0" xfId="11" quotePrefix="1" applyFont="1" applyFill="1"/>
    <xf numFmtId="166" fontId="32" fillId="0" borderId="0" xfId="12" applyNumberFormat="1" applyFont="1" applyFill="1"/>
    <xf numFmtId="4" fontId="36" fillId="0" borderId="3" xfId="0" applyNumberFormat="1" applyFont="1" applyFill="1" applyBorder="1"/>
    <xf numFmtId="4" fontId="36" fillId="0" borderId="0" xfId="0" applyNumberFormat="1" applyFont="1" applyFill="1"/>
    <xf numFmtId="3" fontId="23" fillId="0" borderId="0" xfId="0" applyNumberFormat="1" applyFont="1" applyFill="1" applyBorder="1"/>
    <xf numFmtId="4" fontId="23" fillId="0" borderId="0" xfId="0" applyNumberFormat="1" applyFont="1" applyFill="1" applyAlignment="1"/>
    <xf numFmtId="0" fontId="23" fillId="0" borderId="0" xfId="0" applyFont="1" applyFill="1" applyAlignment="1"/>
    <xf numFmtId="9" fontId="23" fillId="0" borderId="0" xfId="0" applyNumberFormat="1" applyFont="1" applyFill="1"/>
    <xf numFmtId="4" fontId="23" fillId="3" borderId="0" xfId="0" applyNumberFormat="1" applyFont="1" applyFill="1"/>
    <xf numFmtId="0" fontId="23" fillId="0" borderId="9" xfId="0" applyFont="1" applyFill="1" applyBorder="1" applyAlignment="1">
      <alignment vertical="center"/>
    </xf>
    <xf numFmtId="3" fontId="23" fillId="0" borderId="9" xfId="0" applyNumberFormat="1" applyFont="1" applyFill="1" applyBorder="1" applyAlignment="1">
      <alignment vertical="center"/>
    </xf>
    <xf numFmtId="0" fontId="23" fillId="0" borderId="10" xfId="0" applyFont="1" applyFill="1" applyBorder="1" applyAlignment="1">
      <alignment vertical="center"/>
    </xf>
    <xf numFmtId="3" fontId="23" fillId="0" borderId="10" xfId="0" applyNumberFormat="1" applyFont="1" applyFill="1" applyBorder="1" applyAlignment="1">
      <alignment vertical="center"/>
    </xf>
    <xf numFmtId="166" fontId="23" fillId="0" borderId="11" xfId="0" applyNumberFormat="1" applyFont="1" applyFill="1" applyBorder="1" applyAlignment="1">
      <alignment horizontal="right"/>
    </xf>
    <xf numFmtId="0" fontId="31" fillId="3" borderId="10" xfId="4" applyFont="1" applyFill="1" applyBorder="1" applyAlignment="1">
      <alignment wrapText="1"/>
    </xf>
    <xf numFmtId="0" fontId="31" fillId="0" borderId="10" xfId="4" applyFont="1" applyFill="1" applyBorder="1" applyAlignment="1">
      <alignment vertical="top" wrapText="1"/>
    </xf>
    <xf numFmtId="0" fontId="31" fillId="0" borderId="11" xfId="4" applyFont="1" applyFill="1" applyBorder="1" applyAlignment="1">
      <alignment vertical="top" wrapText="1"/>
    </xf>
    <xf numFmtId="0" fontId="31" fillId="3" borderId="11" xfId="4" applyFont="1" applyFill="1" applyBorder="1" applyAlignment="1">
      <alignment wrapText="1"/>
    </xf>
    <xf numFmtId="0" fontId="25" fillId="0" borderId="0" xfId="5" applyFont="1" applyFill="1" applyBorder="1" applyAlignment="1"/>
    <xf numFmtId="0" fontId="25" fillId="0" borderId="0" xfId="5" applyFont="1" applyFill="1" applyAlignment="1"/>
    <xf numFmtId="0" fontId="23" fillId="0" borderId="0" xfId="0" applyFont="1" applyFill="1"/>
    <xf numFmtId="3" fontId="23" fillId="0" borderId="10" xfId="0" applyNumberFormat="1" applyFont="1" applyFill="1" applyBorder="1"/>
    <xf numFmtId="3" fontId="23" fillId="0" borderId="9" xfId="0" applyNumberFormat="1" applyFont="1" applyFill="1" applyBorder="1"/>
    <xf numFmtId="4" fontId="23" fillId="0" borderId="0" xfId="3" applyNumberFormat="1" applyFont="1" applyFill="1" applyAlignment="1">
      <alignment wrapText="1"/>
    </xf>
    <xf numFmtId="0" fontId="23" fillId="0" borderId="0" xfId="3" applyFont="1" applyFill="1" applyAlignment="1">
      <alignment wrapText="1"/>
    </xf>
    <xf numFmtId="0" fontId="23" fillId="0" borderId="9" xfId="0" applyFont="1" applyFill="1" applyBorder="1" applyAlignment="1">
      <alignment horizontal="left" vertical="center" indent="1"/>
    </xf>
    <xf numFmtId="0" fontId="23" fillId="0" borderId="10" xfId="0" applyFont="1" applyFill="1" applyBorder="1" applyAlignment="1">
      <alignment horizontal="left" vertical="center" indent="1"/>
    </xf>
    <xf numFmtId="4" fontId="29" fillId="0" borderId="0" xfId="0" applyNumberFormat="1" applyFont="1" applyFill="1" applyAlignment="1"/>
    <xf numFmtId="166" fontId="23" fillId="0" borderId="9" xfId="3" applyNumberFormat="1" applyFont="1" applyFill="1" applyBorder="1" applyAlignment="1">
      <alignment horizontal="right"/>
    </xf>
    <xf numFmtId="3" fontId="35" fillId="0" borderId="2" xfId="3" applyNumberFormat="1" applyFont="1" applyFill="1" applyBorder="1"/>
    <xf numFmtId="166" fontId="35" fillId="0" borderId="2" xfId="3" applyNumberFormat="1" applyFont="1" applyFill="1" applyBorder="1" applyAlignment="1">
      <alignment horizontal="right"/>
    </xf>
    <xf numFmtId="165" fontId="35" fillId="0" borderId="2" xfId="3" applyNumberFormat="1" applyFont="1" applyFill="1" applyBorder="1"/>
    <xf numFmtId="166" fontId="35" fillId="0" borderId="0" xfId="3" applyNumberFormat="1" applyFont="1" applyFill="1" applyAlignment="1">
      <alignment horizontal="right"/>
    </xf>
    <xf numFmtId="166" fontId="23" fillId="0" borderId="10" xfId="3" applyNumberFormat="1" applyFont="1" applyFill="1" applyBorder="1" applyAlignment="1">
      <alignment horizontal="right"/>
    </xf>
    <xf numFmtId="166" fontId="23" fillId="0" borderId="11" xfId="3" applyNumberFormat="1" applyFont="1" applyFill="1" applyBorder="1" applyAlignment="1">
      <alignment horizontal="right"/>
    </xf>
    <xf numFmtId="4" fontId="29" fillId="0" borderId="0" xfId="3" applyNumberFormat="1" applyFont="1" applyFill="1"/>
    <xf numFmtId="0" fontId="29" fillId="0" borderId="0" xfId="3" applyFont="1" applyFill="1"/>
    <xf numFmtId="4" fontId="23" fillId="0" borderId="0" xfId="3" applyNumberFormat="1" applyFont="1" applyFill="1"/>
    <xf numFmtId="3" fontId="26" fillId="0" borderId="0" xfId="3" applyNumberFormat="1" applyFont="1" applyFill="1" applyBorder="1"/>
    <xf numFmtId="166" fontId="26" fillId="0" borderId="0" xfId="3" applyNumberFormat="1" applyFont="1" applyFill="1" applyBorder="1" applyAlignment="1">
      <alignment horizontal="right"/>
    </xf>
    <xf numFmtId="0" fontId="23" fillId="0" borderId="0" xfId="3" applyFont="1" applyFill="1" applyBorder="1"/>
    <xf numFmtId="4" fontId="23" fillId="0" borderId="0" xfId="3" applyNumberFormat="1" applyFont="1" applyFill="1" applyBorder="1" applyAlignment="1">
      <alignment horizontal="right"/>
    </xf>
    <xf numFmtId="4" fontId="31" fillId="0" borderId="0" xfId="3" applyNumberFormat="1" applyFont="1" applyFill="1" applyBorder="1" applyAlignment="1">
      <alignment horizontal="right"/>
    </xf>
    <xf numFmtId="4" fontId="23" fillId="0" borderId="0" xfId="3" applyNumberFormat="1" applyFont="1" applyFill="1" applyBorder="1" applyAlignment="1">
      <alignment horizontal="right" wrapText="1"/>
    </xf>
    <xf numFmtId="4" fontId="31" fillId="0" borderId="0" xfId="3" applyNumberFormat="1" applyFont="1" applyFill="1" applyBorder="1" applyAlignment="1">
      <alignment horizontal="right" wrapText="1"/>
    </xf>
    <xf numFmtId="165" fontId="26" fillId="0" borderId="0" xfId="3" applyNumberFormat="1" applyFont="1" applyFill="1" applyBorder="1"/>
    <xf numFmtId="3" fontId="26" fillId="0" borderId="13" xfId="3" applyNumberFormat="1" applyFont="1" applyFill="1" applyBorder="1"/>
    <xf numFmtId="166" fontId="26" fillId="0" borderId="13" xfId="3" applyNumberFormat="1" applyFont="1" applyFill="1" applyBorder="1" applyAlignment="1">
      <alignment horizontal="right"/>
    </xf>
    <xf numFmtId="4" fontId="23" fillId="0" borderId="13" xfId="3" applyNumberFormat="1" applyFont="1" applyFill="1" applyBorder="1" applyAlignment="1">
      <alignment horizontal="right" wrapText="1"/>
    </xf>
    <xf numFmtId="3" fontId="26" fillId="0" borderId="16" xfId="3" applyNumberFormat="1" applyFont="1" applyFill="1" applyBorder="1"/>
    <xf numFmtId="3" fontId="23" fillId="0" borderId="17" xfId="3" applyNumberFormat="1" applyFont="1" applyFill="1" applyBorder="1"/>
    <xf numFmtId="3" fontId="23" fillId="0" borderId="18" xfId="3" applyNumberFormat="1" applyFont="1" applyFill="1" applyBorder="1"/>
    <xf numFmtId="3" fontId="23" fillId="0" borderId="19" xfId="3" applyNumberFormat="1" applyFont="1" applyFill="1" applyBorder="1"/>
    <xf numFmtId="0" fontId="47" fillId="0" borderId="0" xfId="4" applyFont="1" applyFill="1" applyAlignment="1"/>
    <xf numFmtId="0" fontId="57" fillId="0" borderId="0" xfId="3" applyFont="1" applyFill="1"/>
    <xf numFmtId="4" fontId="29" fillId="0" borderId="0" xfId="3" applyNumberFormat="1" applyFont="1" applyFill="1" applyAlignment="1"/>
    <xf numFmtId="0" fontId="29" fillId="0" borderId="0" xfId="3" applyFont="1" applyFill="1" applyAlignment="1"/>
    <xf numFmtId="170" fontId="31" fillId="0" borderId="0" xfId="1" applyNumberFormat="1" applyFont="1" applyFill="1"/>
    <xf numFmtId="170" fontId="23" fillId="0" borderId="0" xfId="1" applyNumberFormat="1" applyFont="1" applyFill="1"/>
    <xf numFmtId="0" fontId="30" fillId="0" borderId="0" xfId="3" applyFont="1" applyFill="1"/>
    <xf numFmtId="0" fontId="30" fillId="0" borderId="0" xfId="3" applyFont="1" applyFill="1" applyAlignment="1">
      <alignment vertical="top"/>
    </xf>
    <xf numFmtId="0" fontId="30" fillId="0" borderId="0" xfId="3" applyFont="1" applyFill="1" applyAlignment="1"/>
    <xf numFmtId="0" fontId="31" fillId="0" borderId="0" xfId="3" applyFont="1" applyFill="1"/>
    <xf numFmtId="164" fontId="31" fillId="0" borderId="0" xfId="32" applyFont="1" applyFill="1"/>
    <xf numFmtId="0" fontId="26" fillId="0" borderId="20" xfId="3" applyFont="1" applyFill="1" applyBorder="1"/>
    <xf numFmtId="3" fontId="26" fillId="0" borderId="20" xfId="3" applyNumberFormat="1" applyFont="1" applyFill="1" applyBorder="1"/>
    <xf numFmtId="0" fontId="26" fillId="0" borderId="13" xfId="3" applyFont="1" applyFill="1" applyBorder="1"/>
    <xf numFmtId="0" fontId="29" fillId="0" borderId="0" xfId="3" applyFont="1" applyFill="1" applyBorder="1"/>
    <xf numFmtId="4" fontId="29" fillId="0" borderId="0" xfId="3" applyNumberFormat="1" applyFont="1" applyFill="1" applyBorder="1" applyAlignment="1"/>
    <xf numFmtId="0" fontId="29" fillId="0" borderId="0" xfId="3" applyFont="1" applyFill="1" applyBorder="1" applyAlignment="1"/>
    <xf numFmtId="0" fontId="35" fillId="0" borderId="0" xfId="3" applyFont="1" applyFill="1" applyBorder="1" applyAlignment="1">
      <alignment horizontal="right"/>
    </xf>
    <xf numFmtId="4" fontId="35" fillId="0" borderId="0" xfId="3" applyNumberFormat="1" applyFont="1" applyFill="1" applyBorder="1" applyAlignment="1">
      <alignment horizontal="right"/>
    </xf>
    <xf numFmtId="4" fontId="29" fillId="0" borderId="0" xfId="0" applyNumberFormat="1" applyFont="1" applyFill="1"/>
    <xf numFmtId="4" fontId="57" fillId="0" borderId="0" xfId="0" applyNumberFormat="1" applyFont="1" applyFill="1"/>
    <xf numFmtId="0" fontId="23" fillId="0" borderId="0" xfId="0" applyNumberFormat="1" applyFont="1" applyFill="1"/>
    <xf numFmtId="4" fontId="47" fillId="0" borderId="0" xfId="0" applyNumberFormat="1" applyFont="1" applyFill="1" applyAlignment="1"/>
    <xf numFmtId="4" fontId="30" fillId="0" borderId="0" xfId="0" applyNumberFormat="1" applyFont="1" applyFill="1" applyAlignment="1"/>
    <xf numFmtId="0" fontId="30" fillId="0" borderId="0" xfId="0" applyFont="1" applyFill="1" applyAlignment="1"/>
    <xf numFmtId="4" fontId="57" fillId="0" borderId="0" xfId="4" applyNumberFormat="1" applyFont="1" applyFill="1" applyAlignment="1"/>
    <xf numFmtId="0" fontId="23" fillId="0" borderId="0" xfId="3" applyFont="1" applyFill="1" applyBorder="1" applyAlignment="1">
      <alignment wrapText="1"/>
    </xf>
    <xf numFmtId="4" fontId="29" fillId="0" borderId="0" xfId="3" applyNumberFormat="1" applyFont="1" applyFill="1" applyBorder="1"/>
    <xf numFmtId="4" fontId="23" fillId="0" borderId="0" xfId="3" applyNumberFormat="1" applyFont="1" applyFill="1" applyBorder="1"/>
    <xf numFmtId="0" fontId="31" fillId="0" borderId="0" xfId="0" applyFont="1" applyFill="1" applyBorder="1"/>
    <xf numFmtId="166" fontId="35" fillId="0" borderId="0" xfId="3" applyNumberFormat="1" applyFont="1" applyFill="1" applyBorder="1" applyAlignment="1">
      <alignment horizontal="right"/>
    </xf>
    <xf numFmtId="165" fontId="26" fillId="0" borderId="13" xfId="3" applyNumberFormat="1" applyFont="1" applyFill="1" applyBorder="1"/>
    <xf numFmtId="3" fontId="23" fillId="0" borderId="20" xfId="3" applyNumberFormat="1" applyFont="1" applyFill="1" applyBorder="1"/>
    <xf numFmtId="166" fontId="23" fillId="0" borderId="20" xfId="3" applyNumberFormat="1" applyFont="1" applyFill="1" applyBorder="1" applyAlignment="1">
      <alignment horizontal="right"/>
    </xf>
    <xf numFmtId="165" fontId="23" fillId="0" borderId="20" xfId="3" applyNumberFormat="1" applyFont="1" applyFill="1" applyBorder="1"/>
    <xf numFmtId="3" fontId="23" fillId="0" borderId="14" xfId="3" applyNumberFormat="1" applyFont="1" applyFill="1" applyBorder="1"/>
    <xf numFmtId="3" fontId="23" fillId="0" borderId="21" xfId="3" applyNumberFormat="1" applyFont="1" applyFill="1" applyBorder="1"/>
    <xf numFmtId="166" fontId="26" fillId="0" borderId="16" xfId="3" applyNumberFormat="1" applyFont="1" applyFill="1" applyBorder="1" applyAlignment="1">
      <alignment horizontal="right"/>
    </xf>
    <xf numFmtId="166" fontId="23" fillId="0" borderId="21" xfId="3" applyNumberFormat="1" applyFont="1" applyFill="1" applyBorder="1" applyAlignment="1">
      <alignment horizontal="right"/>
    </xf>
    <xf numFmtId="3" fontId="26" fillId="0" borderId="24" xfId="3" applyNumberFormat="1" applyFont="1" applyFill="1" applyBorder="1"/>
    <xf numFmtId="3" fontId="23" fillId="0" borderId="25" xfId="3" applyNumberFormat="1" applyFont="1" applyFill="1" applyBorder="1"/>
    <xf numFmtId="4" fontId="24" fillId="0" borderId="0" xfId="3" applyNumberFormat="1" applyFont="1" applyFill="1" applyBorder="1" applyAlignment="1"/>
    <xf numFmtId="166" fontId="26" fillId="0" borderId="13" xfId="2" applyNumberFormat="1" applyFont="1" applyFill="1" applyBorder="1"/>
    <xf numFmtId="0" fontId="58" fillId="0" borderId="0" xfId="4" applyFont="1" applyFill="1" applyBorder="1" applyAlignment="1">
      <alignment horizontal="center"/>
    </xf>
    <xf numFmtId="166" fontId="24" fillId="0" borderId="0" xfId="3" applyNumberFormat="1" applyFont="1" applyFill="1" applyBorder="1"/>
    <xf numFmtId="0" fontId="35" fillId="0" borderId="0" xfId="3" applyFont="1" applyFill="1" applyBorder="1" applyAlignment="1">
      <alignment indent="1"/>
    </xf>
    <xf numFmtId="0" fontId="23" fillId="0" borderId="0" xfId="0" applyNumberFormat="1" applyFont="1" applyFill="1" applyBorder="1"/>
    <xf numFmtId="0" fontId="35" fillId="0" borderId="0" xfId="3" applyFont="1" applyFill="1" applyBorder="1"/>
    <xf numFmtId="3" fontId="24" fillId="0" borderId="0" xfId="3" applyNumberFormat="1" applyFont="1" applyFill="1" applyBorder="1"/>
    <xf numFmtId="165" fontId="24" fillId="0" borderId="0" xfId="3" applyNumberFormat="1" applyFont="1" applyFill="1" applyBorder="1" applyAlignment="1">
      <alignment horizontal="right"/>
    </xf>
    <xf numFmtId="166" fontId="26" fillId="0" borderId="20" xfId="3" applyNumberFormat="1" applyFont="1" applyFill="1" applyBorder="1"/>
    <xf numFmtId="165" fontId="26" fillId="0" borderId="20" xfId="3" applyNumberFormat="1" applyFont="1" applyFill="1" applyBorder="1" applyAlignment="1">
      <alignment horizontal="right"/>
    </xf>
    <xf numFmtId="0" fontId="28" fillId="0" borderId="0" xfId="3" applyFont="1" applyFill="1" applyBorder="1"/>
    <xf numFmtId="4" fontId="28" fillId="0" borderId="13" xfId="3" applyNumberFormat="1" applyFont="1" applyFill="1" applyBorder="1" applyAlignment="1">
      <alignment horizontal="right" wrapText="1"/>
    </xf>
    <xf numFmtId="4" fontId="28" fillId="0" borderId="13" xfId="0" applyNumberFormat="1" applyFont="1" applyFill="1" applyBorder="1" applyAlignment="1">
      <alignment horizontal="right" wrapText="1"/>
    </xf>
    <xf numFmtId="0" fontId="32" fillId="0" borderId="0" xfId="0" applyFont="1" applyFill="1"/>
    <xf numFmtId="4" fontId="40" fillId="0" borderId="0" xfId="3" applyNumberFormat="1" applyFont="1" applyFill="1" applyAlignment="1"/>
    <xf numFmtId="0" fontId="40" fillId="0" borderId="0" xfId="3" applyFont="1" applyFill="1" applyAlignment="1"/>
    <xf numFmtId="0" fontId="50" fillId="0" borderId="0" xfId="3" applyFont="1" applyFill="1" applyAlignment="1"/>
    <xf numFmtId="0" fontId="31" fillId="0" borderId="0" xfId="5" applyFont="1" applyFill="1" applyBorder="1" applyAlignment="1">
      <alignment vertical="center" wrapText="1"/>
    </xf>
    <xf numFmtId="0" fontId="31" fillId="0" borderId="0" xfId="5" applyFont="1" applyFill="1" applyBorder="1" applyAlignment="1">
      <alignment wrapText="1"/>
    </xf>
    <xf numFmtId="0" fontId="31" fillId="0" borderId="6" xfId="5" applyFont="1" applyFill="1" applyBorder="1" applyAlignment="1">
      <alignment wrapText="1"/>
    </xf>
    <xf numFmtId="0" fontId="31" fillId="0" borderId="0" xfId="5" applyFont="1" applyFill="1" applyBorder="1" applyAlignment="1">
      <alignment vertical="top" wrapText="1"/>
    </xf>
    <xf numFmtId="0" fontId="23" fillId="0" borderId="0" xfId="0" applyFont="1" applyFill="1" applyBorder="1" applyAlignment="1">
      <alignment horizontal="right" wrapText="1"/>
    </xf>
    <xf numFmtId="0" fontId="59" fillId="11" borderId="0" xfId="0" applyFont="1" applyFill="1" applyBorder="1"/>
    <xf numFmtId="3" fontId="59" fillId="11" borderId="0" xfId="0" applyNumberFormat="1" applyFont="1" applyFill="1" applyBorder="1"/>
    <xf numFmtId="3" fontId="59" fillId="11" borderId="0" xfId="3" applyNumberFormat="1" applyFont="1" applyFill="1" applyBorder="1"/>
    <xf numFmtId="166" fontId="59" fillId="11" borderId="0" xfId="3" applyNumberFormat="1" applyFont="1" applyFill="1" applyBorder="1"/>
    <xf numFmtId="4" fontId="23" fillId="0" borderId="0" xfId="0" applyNumberFormat="1" applyFont="1" applyFill="1" applyBorder="1" applyAlignment="1">
      <alignment horizontal="right" wrapText="1"/>
    </xf>
    <xf numFmtId="4" fontId="59" fillId="11" borderId="0" xfId="0" applyNumberFormat="1" applyFont="1" applyFill="1" applyBorder="1"/>
    <xf numFmtId="166" fontId="59" fillId="11" borderId="0" xfId="0" applyNumberFormat="1" applyFont="1" applyFill="1" applyBorder="1"/>
    <xf numFmtId="165" fontId="59" fillId="11" borderId="0" xfId="0" applyNumberFormat="1" applyFont="1" applyFill="1" applyBorder="1"/>
    <xf numFmtId="0" fontId="61" fillId="0" borderId="0" xfId="5" applyFont="1" applyFill="1"/>
    <xf numFmtId="0" fontId="24" fillId="14" borderId="0" xfId="5" applyFont="1" applyFill="1"/>
    <xf numFmtId="0" fontId="62" fillId="0" borderId="0" xfId="5" applyFont="1" applyFill="1" applyBorder="1" applyAlignment="1">
      <alignment horizontal="left"/>
    </xf>
    <xf numFmtId="3" fontId="29" fillId="0" borderId="0" xfId="5" applyNumberFormat="1" applyFont="1" applyFill="1" applyBorder="1" applyAlignment="1">
      <alignment horizontal="left"/>
    </xf>
    <xf numFmtId="0" fontId="23" fillId="0" borderId="0" xfId="5" applyFont="1" applyFill="1" applyBorder="1" applyAlignment="1">
      <alignment wrapText="1"/>
    </xf>
    <xf numFmtId="0" fontId="25" fillId="0" borderId="6" xfId="5" applyFont="1" applyFill="1" applyBorder="1" applyAlignment="1">
      <alignment horizontal="left" vertical="top" wrapText="1"/>
    </xf>
    <xf numFmtId="0" fontId="23" fillId="0" borderId="0" xfId="5" applyFont="1" applyFill="1" applyBorder="1" applyAlignment="1">
      <alignment vertical="top" wrapText="1"/>
    </xf>
    <xf numFmtId="0" fontId="63" fillId="0" borderId="0" xfId="5" applyFont="1" applyFill="1" applyAlignment="1"/>
    <xf numFmtId="3" fontId="23" fillId="0" borderId="9" xfId="0" applyNumberFormat="1" applyFont="1" applyFill="1" applyBorder="1"/>
    <xf numFmtId="0" fontId="25" fillId="0" borderId="0" xfId="5" applyFont="1" applyFill="1" applyBorder="1" applyAlignment="1">
      <alignment horizontal="left"/>
    </xf>
    <xf numFmtId="166" fontId="23" fillId="0" borderId="0" xfId="2" applyNumberFormat="1" applyFont="1" applyFill="1" applyBorder="1" applyAlignment="1">
      <alignment horizontal="left" wrapText="1"/>
    </xf>
    <xf numFmtId="166" fontId="24" fillId="0" borderId="0" xfId="2" applyNumberFormat="1" applyFont="1" applyFill="1"/>
    <xf numFmtId="4" fontId="23" fillId="0" borderId="15" xfId="3" applyNumberFormat="1" applyFont="1" applyFill="1" applyBorder="1" applyAlignment="1">
      <alignment horizontal="right" wrapText="1"/>
    </xf>
    <xf numFmtId="166" fontId="59" fillId="11" borderId="0" xfId="3" applyNumberFormat="1" applyFont="1" applyFill="1" applyBorder="1" applyAlignment="1">
      <alignment horizontal="right"/>
    </xf>
    <xf numFmtId="4" fontId="64" fillId="0" borderId="0" xfId="0" applyNumberFormat="1" applyFont="1" applyFill="1" applyAlignment="1"/>
    <xf numFmtId="0" fontId="65" fillId="11" borderId="0" xfId="0" applyFont="1" applyFill="1" applyBorder="1"/>
    <xf numFmtId="3" fontId="65" fillId="11" borderId="0" xfId="0" applyNumberFormat="1" applyFont="1" applyFill="1" applyBorder="1"/>
    <xf numFmtId="166" fontId="23" fillId="0" borderId="9" xfId="3" applyNumberFormat="1" applyFont="1" applyFill="1" applyBorder="1"/>
    <xf numFmtId="166" fontId="23" fillId="0" borderId="10" xfId="3" applyNumberFormat="1" applyFont="1" applyFill="1" applyBorder="1"/>
    <xf numFmtId="166" fontId="23" fillId="0" borderId="11" xfId="3" applyNumberFormat="1" applyFont="1" applyFill="1" applyBorder="1"/>
    <xf numFmtId="4" fontId="23" fillId="0" borderId="9" xfId="0" applyNumberFormat="1" applyFont="1" applyFill="1" applyBorder="1" applyAlignment="1">
      <alignment indent="1"/>
    </xf>
    <xf numFmtId="166" fontId="23" fillId="0" borderId="9" xfId="0" applyNumberFormat="1" applyFont="1" applyFill="1" applyBorder="1"/>
    <xf numFmtId="165" fontId="23" fillId="0" borderId="9" xfId="0" applyNumberFormat="1" applyFont="1" applyFill="1" applyBorder="1"/>
    <xf numFmtId="4" fontId="23" fillId="0" borderId="11" xfId="0" applyNumberFormat="1" applyFont="1" applyFill="1" applyBorder="1" applyAlignment="1">
      <alignment indent="1"/>
    </xf>
    <xf numFmtId="166" fontId="23" fillId="0" borderId="11" xfId="0" applyNumberFormat="1" applyFont="1" applyFill="1" applyBorder="1"/>
    <xf numFmtId="3" fontId="23" fillId="0" borderId="28" xfId="3" applyNumberFormat="1" applyFont="1" applyFill="1" applyBorder="1"/>
    <xf numFmtId="0" fontId="23" fillId="0" borderId="28" xfId="3" applyFont="1" applyFill="1" applyBorder="1" applyAlignment="1">
      <alignment indent="1"/>
    </xf>
    <xf numFmtId="0" fontId="23" fillId="0" borderId="28" xfId="3" applyFont="1" applyFill="1" applyBorder="1"/>
    <xf numFmtId="166" fontId="23" fillId="0" borderId="28" xfId="3" applyNumberFormat="1" applyFont="1" applyFill="1" applyBorder="1"/>
    <xf numFmtId="165" fontId="23" fillId="0" borderId="28" xfId="3" applyNumberFormat="1" applyFont="1" applyFill="1" applyBorder="1" applyAlignment="1">
      <alignment horizontal="right"/>
    </xf>
    <xf numFmtId="0" fontId="23" fillId="0" borderId="10" xfId="3" applyFont="1" applyFill="1" applyBorder="1" applyAlignment="1">
      <alignment indent="1"/>
    </xf>
    <xf numFmtId="0" fontId="23" fillId="0" borderId="10" xfId="3" applyFont="1" applyFill="1" applyBorder="1"/>
    <xf numFmtId="165" fontId="23" fillId="0" borderId="10" xfId="3" applyNumberFormat="1" applyFont="1" applyFill="1" applyBorder="1" applyAlignment="1">
      <alignment horizontal="right"/>
    </xf>
    <xf numFmtId="0" fontId="23" fillId="0" borderId="11" xfId="3" applyFont="1" applyFill="1" applyBorder="1" applyAlignment="1">
      <alignment indent="1"/>
    </xf>
    <xf numFmtId="0" fontId="23" fillId="0" borderId="11" xfId="3" applyFont="1" applyFill="1" applyBorder="1"/>
    <xf numFmtId="165" fontId="23" fillId="0" borderId="11" xfId="3" applyNumberFormat="1" applyFont="1" applyFill="1" applyBorder="1" applyAlignment="1">
      <alignment horizontal="right"/>
    </xf>
    <xf numFmtId="0" fontId="23" fillId="0" borderId="0" xfId="0" applyFont="1" applyFill="1"/>
    <xf numFmtId="4" fontId="23" fillId="0" borderId="0" xfId="0" applyNumberFormat="1" applyFont="1" applyFill="1"/>
    <xf numFmtId="3" fontId="23" fillId="0" borderId="11" xfId="0" applyNumberFormat="1" applyFont="1" applyFill="1" applyBorder="1"/>
    <xf numFmtId="0" fontId="23" fillId="0" borderId="0" xfId="3" applyFont="1" applyFill="1" applyBorder="1" applyAlignment="1">
      <alignment horizontal="left"/>
    </xf>
    <xf numFmtId="0" fontId="23" fillId="0" borderId="0" xfId="0" applyFont="1" applyFill="1" applyBorder="1" applyAlignment="1">
      <alignment horizontal="left" wrapText="1"/>
    </xf>
    <xf numFmtId="3" fontId="59" fillId="11" borderId="15" xfId="3" applyNumberFormat="1" applyFont="1" applyFill="1" applyBorder="1"/>
    <xf numFmtId="170" fontId="16" fillId="0" borderId="0" xfId="1" applyNumberFormat="1" applyFont="1"/>
    <xf numFmtId="0" fontId="31" fillId="0" borderId="0" xfId="5" applyFont="1" applyFill="1"/>
    <xf numFmtId="4" fontId="24" fillId="0" borderId="0" xfId="3" applyNumberFormat="1" applyFont="1" applyFill="1" applyAlignment="1">
      <alignment horizontal="right"/>
    </xf>
    <xf numFmtId="0" fontId="23" fillId="0" borderId="0" xfId="3" applyFont="1" applyFill="1"/>
    <xf numFmtId="4" fontId="24" fillId="0" borderId="0" xfId="3" applyNumberFormat="1" applyFont="1" applyFill="1" applyAlignment="1"/>
    <xf numFmtId="4" fontId="35" fillId="0" borderId="0" xfId="3" applyNumberFormat="1" applyFont="1" applyFill="1" applyBorder="1" applyAlignment="1"/>
    <xf numFmtId="0" fontId="32" fillId="0" borderId="0" xfId="0" applyFont="1" applyFill="1"/>
    <xf numFmtId="0" fontId="24" fillId="3" borderId="0" xfId="5" applyFont="1" applyFill="1"/>
    <xf numFmtId="0" fontId="23" fillId="15" borderId="0" xfId="5" applyFont="1" applyFill="1"/>
    <xf numFmtId="0" fontId="24" fillId="15" borderId="0" xfId="5" applyFont="1" applyFill="1"/>
    <xf numFmtId="1" fontId="24" fillId="15" borderId="0" xfId="5" applyNumberFormat="1" applyFont="1" applyFill="1"/>
    <xf numFmtId="0" fontId="31" fillId="0" borderId="0" xfId="5" applyFont="1" applyFill="1" applyBorder="1" applyAlignment="1">
      <alignment horizontal="center" wrapText="1"/>
    </xf>
    <xf numFmtId="0" fontId="24" fillId="0" borderId="0" xfId="5" applyFont="1" applyFill="1" applyBorder="1"/>
    <xf numFmtId="170" fontId="16" fillId="15" borderId="0" xfId="1" applyNumberFormat="1" applyFont="1" applyFill="1"/>
    <xf numFmtId="166" fontId="24" fillId="15" borderId="0" xfId="2" applyNumberFormat="1" applyFont="1" applyFill="1"/>
    <xf numFmtId="166" fontId="26" fillId="0" borderId="21" xfId="3" applyNumberFormat="1" applyFont="1" applyFill="1" applyBorder="1" applyAlignment="1">
      <alignment horizontal="right"/>
    </xf>
    <xf numFmtId="3" fontId="26" fillId="0" borderId="25" xfId="3" applyNumberFormat="1" applyFont="1" applyFill="1" applyBorder="1"/>
    <xf numFmtId="166" fontId="26" fillId="0" borderId="20" xfId="3" applyNumberFormat="1" applyFont="1" applyFill="1" applyBorder="1" applyAlignment="1">
      <alignment horizontal="right"/>
    </xf>
    <xf numFmtId="165" fontId="26" fillId="0" borderId="20" xfId="3" applyNumberFormat="1" applyFont="1" applyFill="1" applyBorder="1"/>
    <xf numFmtId="0" fontId="32" fillId="0" borderId="0" xfId="0" applyFont="1" applyFill="1"/>
    <xf numFmtId="0" fontId="0" fillId="0" borderId="0" xfId="0" applyFill="1" applyBorder="1"/>
    <xf numFmtId="0" fontId="28" fillId="0" borderId="13" xfId="0" applyFont="1" applyFill="1" applyBorder="1" applyAlignment="1">
      <alignment horizontal="right" wrapText="1"/>
    </xf>
    <xf numFmtId="3" fontId="28" fillId="3" borderId="13" xfId="0" applyNumberFormat="1" applyFont="1" applyFill="1" applyBorder="1"/>
    <xf numFmtId="3" fontId="28" fillId="3" borderId="20" xfId="0" applyNumberFormat="1" applyFont="1" applyFill="1" applyBorder="1"/>
    <xf numFmtId="165" fontId="28" fillId="3" borderId="20" xfId="0" applyNumberFormat="1" applyFont="1" applyFill="1" applyBorder="1"/>
    <xf numFmtId="3" fontId="28" fillId="3" borderId="14" xfId="0" applyNumberFormat="1" applyFont="1" applyFill="1" applyBorder="1"/>
    <xf numFmtId="0" fontId="65" fillId="5" borderId="27" xfId="0" applyFont="1" applyFill="1" applyBorder="1" applyAlignment="1">
      <alignment horizontal="right" wrapText="1"/>
    </xf>
    <xf numFmtId="166" fontId="65" fillId="5" borderId="27" xfId="0" applyNumberFormat="1" applyFont="1" applyFill="1" applyBorder="1"/>
    <xf numFmtId="0" fontId="32" fillId="0" borderId="0" xfId="0" applyFont="1" applyFill="1"/>
    <xf numFmtId="4" fontId="46" fillId="3" borderId="0" xfId="3" applyNumberFormat="1" applyFont="1" applyFill="1" applyAlignment="1">
      <alignment horizontal="right"/>
    </xf>
    <xf numFmtId="0" fontId="66" fillId="0" borderId="0" xfId="0" applyFont="1" applyFill="1"/>
    <xf numFmtId="0" fontId="67" fillId="0" borderId="0" xfId="0" applyFont="1" applyFill="1" applyBorder="1"/>
    <xf numFmtId="4" fontId="28" fillId="0" borderId="20" xfId="0" applyNumberFormat="1" applyFont="1" applyFill="1" applyBorder="1" applyAlignment="1">
      <alignment horizontal="right" wrapText="1"/>
    </xf>
    <xf numFmtId="4" fontId="28" fillId="0" borderId="14" xfId="0" applyNumberFormat="1" applyFont="1" applyFill="1" applyBorder="1" applyAlignment="1">
      <alignment horizontal="right" wrapText="1"/>
    </xf>
    <xf numFmtId="0" fontId="27" fillId="0" borderId="0" xfId="5" applyFont="1" applyFill="1" applyBorder="1" applyAlignment="1">
      <alignment horizontal="left" vertical="top"/>
    </xf>
    <xf numFmtId="0" fontId="68" fillId="0" borderId="0" xfId="5" applyFont="1" applyFill="1" applyBorder="1" applyAlignment="1">
      <alignment horizontal="left"/>
    </xf>
    <xf numFmtId="0" fontId="47" fillId="0" borderId="0" xfId="11" applyFont="1" applyFill="1" applyAlignment="1"/>
    <xf numFmtId="4" fontId="49" fillId="0" borderId="0" xfId="0" applyNumberFormat="1" applyFont="1" applyFill="1" applyAlignment="1"/>
    <xf numFmtId="0" fontId="49" fillId="0" borderId="0" xfId="0" applyFont="1" applyFill="1" applyAlignment="1"/>
    <xf numFmtId="0" fontId="13" fillId="0" borderId="0" xfId="0" applyFont="1" applyFill="1"/>
    <xf numFmtId="0" fontId="40" fillId="0" borderId="0" xfId="3" applyNumberFormat="1" applyFont="1" applyFill="1"/>
    <xf numFmtId="3" fontId="32" fillId="0" borderId="0" xfId="0" applyNumberFormat="1" applyFont="1" applyFill="1"/>
    <xf numFmtId="3" fontId="32" fillId="0" borderId="3" xfId="0" applyNumberFormat="1" applyFont="1" applyFill="1" applyBorder="1"/>
    <xf numFmtId="166" fontId="32" fillId="0" borderId="0" xfId="0" applyNumberFormat="1" applyFont="1" applyFill="1"/>
    <xf numFmtId="0" fontId="23" fillId="0" borderId="0" xfId="3" applyFont="1" applyFill="1" applyBorder="1"/>
    <xf numFmtId="0" fontId="32" fillId="0" borderId="0" xfId="0" quotePrefix="1" applyFont="1" applyFill="1"/>
    <xf numFmtId="0" fontId="40" fillId="0" borderId="0" xfId="3" applyFont="1" applyFill="1" applyBorder="1"/>
    <xf numFmtId="4" fontId="22" fillId="0" borderId="0" xfId="3" applyNumberFormat="1" applyFont="1" applyFill="1" applyAlignment="1">
      <alignment horizontal="left"/>
    </xf>
    <xf numFmtId="0" fontId="22" fillId="0" borderId="0" xfId="3" applyFont="1" applyFill="1" applyAlignment="1">
      <alignment horizontal="left"/>
    </xf>
    <xf numFmtId="0" fontId="23" fillId="0" borderId="0" xfId="0" applyFont="1" applyFill="1" applyBorder="1" applyAlignment="1">
      <alignment indent="1"/>
    </xf>
    <xf numFmtId="4" fontId="23" fillId="0" borderId="23" xfId="3" applyNumberFormat="1" applyFont="1" applyFill="1" applyBorder="1" applyAlignment="1">
      <alignment horizontal="right" wrapText="1"/>
    </xf>
    <xf numFmtId="0" fontId="26" fillId="0" borderId="13" xfId="3" applyFont="1" applyFill="1" applyBorder="1" applyAlignment="1">
      <alignment horizontal="left" vertical="top" wrapText="1"/>
    </xf>
    <xf numFmtId="0" fontId="23" fillId="0" borderId="0" xfId="3" applyFont="1" applyFill="1" applyBorder="1" applyAlignment="1">
      <alignment horizontal="left" vertical="top" wrapText="1"/>
    </xf>
    <xf numFmtId="0" fontId="26" fillId="0" borderId="13" xfId="3" applyFont="1" applyFill="1" applyBorder="1" applyAlignment="1">
      <alignment horizontal="left" vertical="top" wrapText="1" indent="1"/>
    </xf>
    <xf numFmtId="3" fontId="26" fillId="0" borderId="21" xfId="3" applyNumberFormat="1" applyFont="1" applyFill="1" applyBorder="1"/>
    <xf numFmtId="3" fontId="26" fillId="0" borderId="14" xfId="3" applyNumberFormat="1" applyFont="1" applyFill="1" applyBorder="1"/>
    <xf numFmtId="3" fontId="26" fillId="0" borderId="22" xfId="3" applyNumberFormat="1" applyFont="1" applyFill="1" applyBorder="1"/>
    <xf numFmtId="166" fontId="26" fillId="0" borderId="14" xfId="3" applyNumberFormat="1" applyFont="1" applyFill="1" applyBorder="1" applyAlignment="1">
      <alignment horizontal="right"/>
    </xf>
    <xf numFmtId="166" fontId="26" fillId="0" borderId="22" xfId="3" applyNumberFormat="1" applyFont="1" applyFill="1" applyBorder="1" applyAlignment="1">
      <alignment horizontal="right"/>
    </xf>
    <xf numFmtId="165" fontId="26" fillId="0" borderId="14" xfId="3" applyNumberFormat="1" applyFont="1" applyFill="1" applyBorder="1"/>
    <xf numFmtId="0" fontId="26" fillId="0" borderId="20" xfId="3" applyFont="1" applyFill="1" applyBorder="1" applyAlignment="1">
      <alignment horizontal="left" vertical="top" wrapText="1" indent="1"/>
    </xf>
    <xf numFmtId="0" fontId="26" fillId="0" borderId="14" xfId="3" applyFont="1" applyFill="1" applyBorder="1" applyAlignment="1">
      <alignment horizontal="left" vertical="top" wrapText="1" indent="1"/>
    </xf>
    <xf numFmtId="3" fontId="26" fillId="0" borderId="26" xfId="3" applyNumberFormat="1" applyFont="1" applyFill="1" applyBorder="1"/>
    <xf numFmtId="166" fontId="22" fillId="0" borderId="0" xfId="2" applyNumberFormat="1" applyFont="1" applyFill="1" applyBorder="1"/>
    <xf numFmtId="4" fontId="69" fillId="0" borderId="0" xfId="0" applyNumberFormat="1" applyFont="1" applyFill="1" applyBorder="1" applyAlignment="1">
      <alignment horizontal="right" wrapText="1"/>
    </xf>
    <xf numFmtId="166" fontId="59" fillId="0" borderId="0" xfId="2" applyNumberFormat="1" applyFont="1" applyFill="1" applyBorder="1"/>
    <xf numFmtId="0" fontId="40" fillId="3" borderId="0" xfId="0" applyFont="1" applyFill="1"/>
    <xf numFmtId="4" fontId="40" fillId="3" borderId="0" xfId="0" applyNumberFormat="1" applyFont="1" applyFill="1"/>
    <xf numFmtId="0" fontId="2" fillId="0" borderId="13" xfId="0" applyFont="1" applyFill="1" applyBorder="1" applyAlignment="1">
      <alignment horizontal="left"/>
    </xf>
    <xf numFmtId="3" fontId="2" fillId="3" borderId="13" xfId="0" applyNumberFormat="1" applyFont="1" applyFill="1" applyBorder="1"/>
    <xf numFmtId="0" fontId="2" fillId="0" borderId="20" xfId="0" applyFont="1" applyFill="1" applyBorder="1" applyAlignment="1">
      <alignment horizontal="left"/>
    </xf>
    <xf numFmtId="3" fontId="2" fillId="3" borderId="20" xfId="0" applyNumberFormat="1" applyFont="1" applyFill="1" applyBorder="1"/>
    <xf numFmtId="0" fontId="2" fillId="0" borderId="14" xfId="0" applyFont="1" applyFill="1" applyBorder="1" applyAlignment="1">
      <alignment horizontal="left"/>
    </xf>
    <xf numFmtId="3" fontId="2" fillId="3" borderId="14" xfId="0" applyNumberFormat="1" applyFont="1" applyFill="1" applyBorder="1"/>
    <xf numFmtId="0" fontId="59" fillId="11" borderId="0" xfId="0" applyFont="1" applyFill="1" applyBorder="1" applyAlignment="1">
      <alignment horizontal="right" wrapText="1"/>
    </xf>
    <xf numFmtId="0" fontId="23" fillId="0" borderId="0" xfId="0" applyFont="1" applyFill="1" applyBorder="1" applyAlignment="1">
      <alignment horizontal="left"/>
    </xf>
    <xf numFmtId="0" fontId="46" fillId="3" borderId="0" xfId="0" applyFont="1" applyFill="1" applyBorder="1"/>
    <xf numFmtId="0" fontId="32" fillId="3" borderId="0" xfId="0" applyFont="1" applyFill="1" applyBorder="1"/>
    <xf numFmtId="0" fontId="23" fillId="0" borderId="0" xfId="0" applyFont="1" applyFill="1"/>
    <xf numFmtId="0" fontId="32" fillId="0" borderId="0" xfId="0" applyFont="1" applyFill="1"/>
    <xf numFmtId="3" fontId="65" fillId="11" borderId="0" xfId="0" applyNumberFormat="1" applyFont="1" applyFill="1" applyBorder="1"/>
    <xf numFmtId="3" fontId="23" fillId="0" borderId="9" xfId="0" applyNumberFormat="1" applyFont="1" applyFill="1" applyBorder="1" applyAlignment="1">
      <alignment vertical="center"/>
    </xf>
    <xf numFmtId="0" fontId="23" fillId="0" borderId="0" xfId="0" applyFont="1" applyFill="1" applyBorder="1" applyAlignment="1">
      <alignment horizontal="right" wrapText="1"/>
    </xf>
    <xf numFmtId="0" fontId="23" fillId="0" borderId="0" xfId="0" applyFont="1" applyFill="1" applyBorder="1" applyAlignment="1">
      <alignment horizontal="left" vertical="center" indent="1"/>
    </xf>
    <xf numFmtId="0" fontId="23" fillId="0" borderId="0" xfId="0" applyFont="1" applyFill="1" applyBorder="1" applyAlignment="1">
      <alignment vertical="center"/>
    </xf>
    <xf numFmtId="3" fontId="23" fillId="0" borderId="0" xfId="0" applyNumberFormat="1" applyFont="1" applyFill="1" applyBorder="1" applyAlignment="1">
      <alignment vertical="center"/>
    </xf>
    <xf numFmtId="166" fontId="23" fillId="0" borderId="0" xfId="0" applyNumberFormat="1" applyFont="1" applyFill="1" applyBorder="1" applyAlignment="1">
      <alignment horizontal="right" vertical="center"/>
    </xf>
    <xf numFmtId="3" fontId="23" fillId="0" borderId="9" xfId="0" applyNumberFormat="1" applyFont="1" applyFill="1" applyBorder="1" applyAlignment="1">
      <alignment vertical="top"/>
    </xf>
    <xf numFmtId="3" fontId="23" fillId="0" borderId="11" xfId="0" applyNumberFormat="1" applyFont="1" applyFill="1" applyBorder="1" applyAlignment="1">
      <alignment vertical="top"/>
    </xf>
    <xf numFmtId="0" fontId="32" fillId="0" borderId="0" xfId="0" applyFont="1" applyFill="1" applyAlignment="1">
      <alignment horizontal="right"/>
    </xf>
    <xf numFmtId="0" fontId="32" fillId="3" borderId="0" xfId="0" applyFont="1" applyFill="1" applyAlignment="1">
      <alignment horizontal="right"/>
    </xf>
    <xf numFmtId="3" fontId="65" fillId="11" borderId="0" xfId="0" applyNumberFormat="1" applyFont="1" applyFill="1" applyBorder="1" applyAlignment="1">
      <alignment vertical="top"/>
    </xf>
    <xf numFmtId="4" fontId="32" fillId="0" borderId="9" xfId="0" applyNumberFormat="1" applyFont="1" applyFill="1" applyBorder="1" applyAlignment="1">
      <alignment horizontal="left" vertical="top" wrapText="1" indent="1"/>
    </xf>
    <xf numFmtId="3" fontId="32" fillId="0" borderId="0" xfId="0" applyNumberFormat="1" applyFont="1" applyFill="1" applyBorder="1" applyAlignment="1">
      <alignment horizontal="right" wrapText="1"/>
    </xf>
    <xf numFmtId="0" fontId="0" fillId="0" borderId="0" xfId="0" applyNumberFormat="1" applyFill="1" applyBorder="1"/>
    <xf numFmtId="3" fontId="23" fillId="0" borderId="0" xfId="0" applyNumberFormat="1" applyFont="1" applyFill="1" applyBorder="1" applyAlignment="1">
      <alignment vertical="top"/>
    </xf>
    <xf numFmtId="0" fontId="32" fillId="0" borderId="0" xfId="0" applyFont="1" applyFill="1" applyBorder="1" applyAlignment="1">
      <alignment horizontal="right"/>
    </xf>
    <xf numFmtId="0" fontId="0" fillId="0" borderId="0" xfId="0" applyFill="1" applyBorder="1" applyAlignment="1">
      <alignment horizontal="right"/>
    </xf>
    <xf numFmtId="0" fontId="23" fillId="3" borderId="0" xfId="0" applyFont="1" applyFill="1" applyBorder="1"/>
    <xf numFmtId="0" fontId="23" fillId="3" borderId="0" xfId="0" applyFont="1" applyFill="1" applyBorder="1" applyAlignment="1">
      <alignment horizontal="right"/>
    </xf>
    <xf numFmtId="0" fontId="32" fillId="3" borderId="0" xfId="0" applyFont="1" applyFill="1" applyBorder="1" applyAlignment="1">
      <alignment horizontal="right"/>
    </xf>
    <xf numFmtId="3" fontId="23" fillId="0" borderId="10" xfId="0" applyNumberFormat="1" applyFont="1" applyFill="1" applyBorder="1" applyAlignment="1">
      <alignment vertical="top"/>
    </xf>
    <xf numFmtId="0" fontId="65" fillId="11" borderId="0" xfId="0" applyFont="1" applyFill="1" applyBorder="1" applyAlignment="1">
      <alignment wrapText="1"/>
    </xf>
    <xf numFmtId="0" fontId="32" fillId="0" borderId="0" xfId="0" applyFont="1" applyFill="1"/>
    <xf numFmtId="4" fontId="24" fillId="0" borderId="0" xfId="3" applyNumberFormat="1" applyFont="1" applyFill="1" applyAlignment="1">
      <alignment horizontal="right"/>
    </xf>
    <xf numFmtId="4" fontId="46" fillId="3" borderId="0" xfId="3" applyNumberFormat="1" applyFont="1" applyFill="1" applyAlignment="1">
      <alignment horizontal="right"/>
    </xf>
    <xf numFmtId="0" fontId="71" fillId="3" borderId="0" xfId="0" applyFont="1" applyFill="1" applyBorder="1"/>
    <xf numFmtId="3" fontId="71" fillId="3" borderId="0" xfId="0" applyNumberFormat="1" applyFont="1" applyFill="1" applyBorder="1"/>
    <xf numFmtId="0" fontId="71" fillId="0" borderId="0" xfId="0" applyFont="1" applyFill="1" applyBorder="1" applyAlignment="1">
      <alignment indent="1"/>
    </xf>
    <xf numFmtId="0" fontId="32" fillId="3" borderId="0" xfId="0" quotePrefix="1" applyFont="1" applyFill="1"/>
    <xf numFmtId="4" fontId="23" fillId="0" borderId="0" xfId="0" applyNumberFormat="1" applyFont="1" applyFill="1" applyBorder="1" applyAlignment="1">
      <alignment wrapText="1"/>
    </xf>
    <xf numFmtId="4" fontId="23" fillId="0" borderId="0" xfId="0" applyNumberFormat="1" applyFont="1" applyFill="1" applyBorder="1"/>
    <xf numFmtId="1" fontId="23" fillId="0" borderId="0" xfId="0" applyNumberFormat="1" applyFont="1" applyFill="1" applyBorder="1"/>
    <xf numFmtId="167" fontId="23" fillId="0" borderId="0" xfId="0" applyNumberFormat="1" applyFont="1" applyFill="1" applyBorder="1"/>
    <xf numFmtId="0" fontId="29" fillId="0" borderId="0" xfId="3" applyFont="1" applyFill="1"/>
    <xf numFmtId="0" fontId="72" fillId="3" borderId="0" xfId="4" applyFont="1"/>
    <xf numFmtId="0" fontId="23" fillId="0" borderId="0" xfId="0" applyFont="1" applyFill="1"/>
    <xf numFmtId="0" fontId="32" fillId="0" borderId="0" xfId="0" applyFont="1" applyFill="1"/>
    <xf numFmtId="3" fontId="65" fillId="11" borderId="0" xfId="0" applyNumberFormat="1" applyFont="1" applyFill="1" applyBorder="1"/>
    <xf numFmtId="3" fontId="23" fillId="0" borderId="9" xfId="0" applyNumberFormat="1" applyFont="1" applyFill="1" applyBorder="1" applyAlignment="1">
      <alignment vertical="center"/>
    </xf>
    <xf numFmtId="0" fontId="23" fillId="0" borderId="0" xfId="0" applyFont="1" applyFill="1" applyBorder="1" applyAlignment="1">
      <alignment horizontal="right" wrapText="1"/>
    </xf>
    <xf numFmtId="0" fontId="73" fillId="0" borderId="0" xfId="0" applyFont="1" applyFill="1"/>
    <xf numFmtId="4" fontId="23" fillId="0" borderId="10" xfId="0" applyNumberFormat="1" applyFont="1" applyFill="1" applyBorder="1" applyAlignment="1">
      <alignment indent="1"/>
    </xf>
    <xf numFmtId="166" fontId="23" fillId="0" borderId="10" xfId="0" applyNumberFormat="1" applyFont="1" applyFill="1" applyBorder="1"/>
    <xf numFmtId="165" fontId="23" fillId="0" borderId="10" xfId="0" applyNumberFormat="1" applyFont="1" applyFill="1" applyBorder="1"/>
    <xf numFmtId="0" fontId="32" fillId="0" borderId="0" xfId="0" applyFont="1" applyFill="1" applyBorder="1" applyAlignment="1">
      <alignment horizontal="left" vertical="top" wrapText="1" indent="1"/>
    </xf>
    <xf numFmtId="0" fontId="30" fillId="0" borderId="0" xfId="5" applyFont="1" applyFill="1" applyBorder="1" applyAlignment="1">
      <alignment wrapText="1"/>
    </xf>
    <xf numFmtId="0" fontId="39" fillId="0" borderId="0" xfId="0" applyFont="1" applyFill="1" applyBorder="1"/>
    <xf numFmtId="0" fontId="40" fillId="0" borderId="0" xfId="0" applyFont="1" applyFill="1" applyBorder="1"/>
    <xf numFmtId="0" fontId="40" fillId="0" borderId="0" xfId="0" applyFont="1" applyFill="1" applyBorder="1" applyAlignment="1">
      <alignment horizontal="right"/>
    </xf>
    <xf numFmtId="3" fontId="40" fillId="0" borderId="0" xfId="0" applyNumberFormat="1" applyFont="1" applyFill="1" applyBorder="1"/>
    <xf numFmtId="165" fontId="40" fillId="0" borderId="0" xfId="0" applyNumberFormat="1" applyFont="1" applyFill="1" applyBorder="1"/>
    <xf numFmtId="4" fontId="38" fillId="0" borderId="0" xfId="0" applyNumberFormat="1" applyFont="1" applyFill="1" applyBorder="1"/>
    <xf numFmtId="0" fontId="38" fillId="0" borderId="0" xfId="0" applyFont="1" applyFill="1" applyBorder="1"/>
    <xf numFmtId="4" fontId="41" fillId="0" borderId="0" xfId="0" applyNumberFormat="1" applyFont="1" applyFill="1" applyBorder="1"/>
    <xf numFmtId="166" fontId="40" fillId="0" borderId="0" xfId="0" applyNumberFormat="1" applyFont="1" applyFill="1" applyBorder="1"/>
    <xf numFmtId="166" fontId="40" fillId="0" borderId="12" xfId="0" applyNumberFormat="1" applyFont="1" applyFill="1" applyBorder="1"/>
    <xf numFmtId="0" fontId="13" fillId="0" borderId="0" xfId="0" applyFont="1" applyFill="1" applyBorder="1"/>
    <xf numFmtId="3" fontId="22" fillId="0" borderId="0" xfId="0" applyNumberFormat="1" applyFont="1" applyFill="1" applyBorder="1"/>
    <xf numFmtId="9" fontId="32" fillId="0" borderId="0" xfId="2" applyFont="1" applyFill="1" applyBorder="1"/>
    <xf numFmtId="0" fontId="59" fillId="11" borderId="0" xfId="3" applyFont="1" applyFill="1" applyBorder="1" applyAlignment="1">
      <alignment horizontal="left"/>
    </xf>
    <xf numFmtId="0" fontId="29" fillId="0" borderId="0" xfId="0" applyFont="1" applyFill="1" applyAlignment="1"/>
    <xf numFmtId="0" fontId="31" fillId="0" borderId="0" xfId="4" applyFont="1" applyFill="1" applyBorder="1" applyAlignment="1">
      <alignment wrapText="1"/>
    </xf>
    <xf numFmtId="0" fontId="31" fillId="3" borderId="0" xfId="4" applyFont="1" applyFill="1" applyBorder="1" applyAlignment="1">
      <alignment wrapText="1"/>
    </xf>
    <xf numFmtId="0" fontId="31" fillId="0" borderId="0" xfId="4" applyFont="1" applyFill="1" applyBorder="1" applyAlignment="1">
      <alignment vertical="top" wrapText="1"/>
    </xf>
    <xf numFmtId="0" fontId="37" fillId="3" borderId="0" xfId="4" applyFont="1" applyFill="1" applyBorder="1" applyAlignment="1">
      <alignment wrapText="1"/>
    </xf>
    <xf numFmtId="166" fontId="23" fillId="0" borderId="0" xfId="2" applyNumberFormat="1" applyFont="1" applyFill="1" applyBorder="1"/>
    <xf numFmtId="0" fontId="23" fillId="0" borderId="9" xfId="3" applyFont="1" applyFill="1" applyBorder="1"/>
    <xf numFmtId="0" fontId="23" fillId="0" borderId="9" xfId="0" applyNumberFormat="1" applyFont="1" applyFill="1" applyBorder="1"/>
    <xf numFmtId="0" fontId="23" fillId="0" borderId="9" xfId="3" applyFont="1" applyFill="1" applyBorder="1" applyAlignment="1">
      <alignment indent="1"/>
    </xf>
    <xf numFmtId="0" fontId="23" fillId="0" borderId="10" xfId="0" applyNumberFormat="1" applyFont="1" applyFill="1" applyBorder="1"/>
    <xf numFmtId="0" fontId="23" fillId="0" borderId="11" xfId="0" applyNumberFormat="1" applyFont="1" applyFill="1" applyBorder="1"/>
    <xf numFmtId="0" fontId="23" fillId="0" borderId="13" xfId="3" applyFont="1" applyFill="1" applyBorder="1"/>
    <xf numFmtId="0" fontId="22" fillId="11" borderId="0" xfId="0" applyNumberFormat="1" applyFont="1" applyFill="1" applyBorder="1"/>
    <xf numFmtId="0" fontId="23" fillId="0" borderId="0" xfId="0" applyFont="1" applyFill="1"/>
    <xf numFmtId="0" fontId="28" fillId="0" borderId="0" xfId="5" applyFont="1" applyFill="1" applyBorder="1"/>
    <xf numFmtId="0" fontId="75" fillId="0" borderId="0" xfId="0" applyFont="1" applyFill="1" applyAlignment="1">
      <alignment horizontal="center"/>
    </xf>
    <xf numFmtId="166" fontId="75" fillId="0" borderId="0" xfId="2" applyNumberFormat="1" applyFont="1" applyFill="1" applyAlignment="1">
      <alignment horizontal="center"/>
    </xf>
    <xf numFmtId="0" fontId="23" fillId="0" borderId="10" xfId="0" applyFont="1" applyFill="1" applyBorder="1"/>
    <xf numFmtId="0" fontId="23" fillId="0" borderId="11" xfId="0" applyFont="1" applyFill="1" applyBorder="1"/>
    <xf numFmtId="4" fontId="30" fillId="0" borderId="0" xfId="3" applyNumberFormat="1" applyFont="1" applyFill="1" applyBorder="1" applyAlignment="1"/>
    <xf numFmtId="170" fontId="23" fillId="0" borderId="9" xfId="1" applyNumberFormat="1" applyFont="1" applyFill="1" applyBorder="1"/>
    <xf numFmtId="170" fontId="23" fillId="0" borderId="10" xfId="1" applyNumberFormat="1" applyFont="1" applyFill="1" applyBorder="1"/>
    <xf numFmtId="170" fontId="23" fillId="0" borderId="11" xfId="1" applyNumberFormat="1" applyFont="1" applyFill="1" applyBorder="1"/>
    <xf numFmtId="165" fontId="23" fillId="0" borderId="0" xfId="0" applyNumberFormat="1" applyFont="1" applyFill="1"/>
    <xf numFmtId="0" fontId="23" fillId="0" borderId="13" xfId="3" applyFont="1" applyFill="1" applyBorder="1" applyAlignment="1">
      <alignment horizontal="left" vertical="top" wrapText="1" indent="2"/>
    </xf>
    <xf numFmtId="0" fontId="23" fillId="0" borderId="20" xfId="3" applyFont="1" applyFill="1" applyBorder="1" applyAlignment="1">
      <alignment horizontal="left" vertical="top" wrapText="1" indent="2"/>
    </xf>
    <xf numFmtId="0" fontId="36" fillId="3" borderId="0" xfId="0" applyFont="1" applyFill="1"/>
    <xf numFmtId="166" fontId="0" fillId="0" borderId="0" xfId="2" applyNumberFormat="1" applyFont="1" applyFill="1"/>
    <xf numFmtId="4" fontId="46" fillId="3" borderId="0" xfId="7" applyNumberFormat="1" applyFont="1" applyFill="1" applyAlignment="1">
      <alignment horizontal="right"/>
    </xf>
    <xf numFmtId="4" fontId="46" fillId="3" borderId="0" xfId="7" applyNumberFormat="1" applyFont="1" applyFill="1" applyAlignment="1">
      <alignment horizontal="left"/>
    </xf>
    <xf numFmtId="0" fontId="5" fillId="3" borderId="0" xfId="7" applyFill="1"/>
    <xf numFmtId="0" fontId="32" fillId="3" borderId="0" xfId="7" applyFont="1" applyFill="1"/>
    <xf numFmtId="0" fontId="46" fillId="3" borderId="0" xfId="7" applyFont="1" applyFill="1"/>
    <xf numFmtId="0" fontId="32" fillId="3" borderId="0" xfId="7" applyFont="1" applyFill="1" applyAlignment="1">
      <alignment horizontal="left"/>
    </xf>
    <xf numFmtId="0" fontId="1" fillId="3" borderId="0" xfId="45"/>
    <xf numFmtId="0" fontId="40" fillId="3" borderId="0" xfId="7" applyFont="1" applyFill="1"/>
    <xf numFmtId="0" fontId="40" fillId="3" borderId="0" xfId="7" applyFont="1" applyFill="1" applyAlignment="1">
      <alignment horizontal="left"/>
    </xf>
    <xf numFmtId="0" fontId="59" fillId="11" borderId="0" xfId="7" applyFont="1" applyFill="1" applyBorder="1"/>
    <xf numFmtId="0" fontId="59" fillId="11" borderId="0" xfId="7" applyFont="1" applyFill="1" applyBorder="1" applyAlignment="1">
      <alignment horizontal="right" wrapText="1"/>
    </xf>
    <xf numFmtId="3" fontId="1" fillId="3" borderId="13" xfId="7" applyNumberFormat="1" applyFont="1" applyFill="1" applyBorder="1"/>
    <xf numFmtId="166" fontId="23" fillId="3" borderId="13" xfId="46" applyNumberFormat="1" applyFont="1" applyFill="1" applyBorder="1"/>
    <xf numFmtId="0" fontId="32" fillId="3" borderId="20" xfId="7" applyFont="1" applyFill="1" applyBorder="1"/>
    <xf numFmtId="0" fontId="40" fillId="3" borderId="20" xfId="7" applyFont="1" applyFill="1" applyBorder="1"/>
    <xf numFmtId="4" fontId="40" fillId="3" borderId="20" xfId="7" applyNumberFormat="1" applyFont="1" applyFill="1" applyBorder="1"/>
    <xf numFmtId="4" fontId="1" fillId="3" borderId="20" xfId="7" applyNumberFormat="1" applyFont="1" applyFill="1" applyBorder="1"/>
    <xf numFmtId="3" fontId="1" fillId="3" borderId="20" xfId="7" applyNumberFormat="1" applyFont="1" applyFill="1" applyBorder="1"/>
    <xf numFmtId="166" fontId="23" fillId="3" borderId="20" xfId="46" applyNumberFormat="1" applyFont="1" applyFill="1" applyBorder="1"/>
    <xf numFmtId="0" fontId="46" fillId="3" borderId="20" xfId="7" applyFont="1" applyFill="1" applyBorder="1"/>
    <xf numFmtId="0" fontId="40" fillId="3" borderId="20" xfId="7" applyNumberFormat="1" applyFont="1" applyFill="1" applyBorder="1"/>
    <xf numFmtId="0" fontId="32" fillId="3" borderId="14" xfId="7" applyFont="1" applyFill="1" applyBorder="1"/>
    <xf numFmtId="0" fontId="40" fillId="3" borderId="14" xfId="7" applyFont="1" applyFill="1" applyBorder="1"/>
    <xf numFmtId="0" fontId="5" fillId="3" borderId="14" xfId="7" applyNumberFormat="1" applyFill="1" applyBorder="1"/>
    <xf numFmtId="0" fontId="46" fillId="3" borderId="14" xfId="7" applyFont="1" applyFill="1" applyBorder="1"/>
    <xf numFmtId="4" fontId="40" fillId="3" borderId="0" xfId="7" applyNumberFormat="1" applyFont="1" applyFill="1"/>
    <xf numFmtId="0" fontId="23" fillId="3" borderId="0" xfId="7" applyFont="1" applyFill="1" applyBorder="1" applyAlignment="1">
      <alignment indent="1"/>
    </xf>
    <xf numFmtId="0" fontId="23" fillId="3" borderId="0" xfId="7" applyFont="1" applyFill="1" applyBorder="1"/>
    <xf numFmtId="0" fontId="23" fillId="3" borderId="0" xfId="7" applyFont="1" applyFill="1"/>
    <xf numFmtId="0" fontId="32" fillId="3" borderId="0" xfId="7" applyFont="1" applyFill="1" applyBorder="1"/>
    <xf numFmtId="0" fontId="32" fillId="3" borderId="0" xfId="7" applyFont="1" applyFill="1" applyBorder="1" applyAlignment="1">
      <alignment horizontal="left"/>
    </xf>
    <xf numFmtId="0" fontId="46" fillId="3" borderId="0" xfId="7" applyFont="1" applyFill="1" applyBorder="1"/>
    <xf numFmtId="4" fontId="46" fillId="3" borderId="0" xfId="7" applyNumberFormat="1" applyFont="1" applyFill="1"/>
    <xf numFmtId="0" fontId="35" fillId="3" borderId="0" xfId="7" applyFont="1" applyFill="1" applyAlignment="1">
      <alignment wrapText="1"/>
    </xf>
    <xf numFmtId="0" fontId="46" fillId="3" borderId="0" xfId="7" applyFont="1" applyFill="1" applyAlignment="1">
      <alignment horizontal="left"/>
    </xf>
    <xf numFmtId="0" fontId="71" fillId="3" borderId="0" xfId="7" applyFont="1" applyFill="1" applyBorder="1"/>
    <xf numFmtId="3" fontId="71" fillId="3" borderId="0" xfId="7" applyNumberFormat="1" applyFont="1" applyFill="1" applyBorder="1"/>
    <xf numFmtId="0" fontId="29" fillId="3" borderId="0" xfId="7" applyFont="1" applyFill="1" applyAlignment="1"/>
    <xf numFmtId="0" fontId="59" fillId="11" borderId="0" xfId="3" applyFont="1" applyFill="1" applyBorder="1" applyAlignment="1">
      <alignment indent="1"/>
    </xf>
    <xf numFmtId="166" fontId="59" fillId="11" borderId="0" xfId="2" applyNumberFormat="1" applyFont="1" applyFill="1" applyBorder="1"/>
    <xf numFmtId="0" fontId="76" fillId="0" borderId="0" xfId="0" applyFont="1" applyFill="1"/>
    <xf numFmtId="0" fontId="76" fillId="0" borderId="9" xfId="0" applyFont="1" applyFill="1" applyBorder="1" applyAlignment="1">
      <alignment horizontal="right"/>
    </xf>
    <xf numFmtId="4" fontId="59" fillId="11" borderId="0" xfId="3" applyNumberFormat="1" applyFont="1" applyFill="1" applyBorder="1" applyAlignment="1">
      <alignment horizontal="right" wrapText="1"/>
    </xf>
    <xf numFmtId="165" fontId="23" fillId="0" borderId="9" xfId="3" applyNumberFormat="1" applyFont="1" applyFill="1" applyBorder="1" applyAlignment="1">
      <alignment horizontal="right"/>
    </xf>
    <xf numFmtId="0" fontId="59" fillId="11" borderId="0" xfId="3" applyFont="1" applyFill="1" applyBorder="1"/>
    <xf numFmtId="0" fontId="32" fillId="0" borderId="0" xfId="0" applyFont="1" applyFill="1"/>
    <xf numFmtId="0" fontId="46" fillId="0" borderId="0" xfId="0" applyFont="1" applyFill="1"/>
    <xf numFmtId="0" fontId="40" fillId="3" borderId="0" xfId="7" applyFont="1" applyFill="1" applyBorder="1"/>
    <xf numFmtId="0" fontId="5" fillId="3" borderId="0" xfId="7" applyNumberFormat="1" applyFill="1" applyBorder="1"/>
    <xf numFmtId="0" fontId="5" fillId="0" borderId="0" xfId="0" applyFont="1" applyFill="1"/>
    <xf numFmtId="4" fontId="32" fillId="0" borderId="10" xfId="0" applyNumberFormat="1" applyFont="1" applyFill="1" applyBorder="1" applyAlignment="1">
      <alignment horizontal="left" vertical="top" wrapText="1" indent="1"/>
    </xf>
    <xf numFmtId="0" fontId="40" fillId="16" borderId="0" xfId="0" applyNumberFormat="1" applyFont="1" applyFill="1"/>
    <xf numFmtId="0" fontId="0" fillId="16" borderId="0" xfId="0" applyNumberFormat="1" applyFill="1"/>
    <xf numFmtId="166" fontId="2" fillId="3" borderId="13" xfId="2" applyNumberFormat="1" applyFont="1" applyFill="1" applyBorder="1"/>
    <xf numFmtId="166" fontId="2" fillId="0" borderId="13" xfId="2" applyNumberFormat="1" applyFont="1" applyFill="1" applyBorder="1" applyAlignment="1">
      <alignment indent="1"/>
    </xf>
    <xf numFmtId="0" fontId="32" fillId="0" borderId="0" xfId="0" applyFont="1" applyFill="1"/>
    <xf numFmtId="4" fontId="32" fillId="0" borderId="0" xfId="10" applyNumberFormat="1" applyFont="1" applyFill="1" applyAlignment="1">
      <alignment vertical="top" wrapText="1"/>
    </xf>
    <xf numFmtId="9" fontId="32" fillId="0" borderId="0" xfId="0" applyNumberFormat="1" applyFont="1" applyFill="1"/>
    <xf numFmtId="0" fontId="2" fillId="0" borderId="0" xfId="0" applyFont="1" applyFill="1" applyBorder="1" applyAlignment="1">
      <alignment horizontal="left"/>
    </xf>
    <xf numFmtId="0" fontId="32" fillId="0" borderId="0" xfId="0" applyFont="1" applyFill="1"/>
    <xf numFmtId="0" fontId="0" fillId="16" borderId="0" xfId="0" applyNumberFormat="1" applyFill="1" applyBorder="1"/>
    <xf numFmtId="4" fontId="32" fillId="0" borderId="0" xfId="0" applyNumberFormat="1" applyFont="1" applyFill="1" applyBorder="1" applyAlignment="1">
      <alignment horizontal="left" vertical="top" wrapText="1" indent="1"/>
    </xf>
    <xf numFmtId="4" fontId="2" fillId="17" borderId="20" xfId="0" applyNumberFormat="1" applyFont="1" applyFill="1" applyBorder="1"/>
    <xf numFmtId="0" fontId="46" fillId="3" borderId="30" xfId="0" applyFont="1" applyFill="1" applyBorder="1"/>
    <xf numFmtId="0" fontId="46" fillId="3" borderId="31" xfId="0" applyFont="1" applyFill="1" applyBorder="1"/>
    <xf numFmtId="0" fontId="46" fillId="0" borderId="31" xfId="0" applyFont="1" applyFill="1" applyBorder="1"/>
    <xf numFmtId="0" fontId="46" fillId="3" borderId="32" xfId="0" applyFont="1" applyFill="1" applyBorder="1"/>
    <xf numFmtId="0" fontId="46" fillId="3" borderId="33" xfId="0" applyFont="1" applyFill="1" applyBorder="1"/>
    <xf numFmtId="0" fontId="46" fillId="3" borderId="34" xfId="0" applyFont="1" applyFill="1" applyBorder="1"/>
    <xf numFmtId="0" fontId="40" fillId="16" borderId="33" xfId="0" applyNumberFormat="1" applyFont="1" applyFill="1" applyBorder="1"/>
    <xf numFmtId="0" fontId="40" fillId="3" borderId="0" xfId="0" applyFont="1" applyFill="1" applyBorder="1"/>
    <xf numFmtId="0" fontId="0" fillId="16" borderId="33" xfId="0" applyNumberFormat="1" applyFill="1" applyBorder="1"/>
    <xf numFmtId="0" fontId="40" fillId="16" borderId="0" xfId="0" applyNumberFormat="1" applyFont="1" applyFill="1" applyBorder="1"/>
    <xf numFmtId="0" fontId="46" fillId="3" borderId="35" xfId="0" applyFont="1" applyFill="1" applyBorder="1"/>
    <xf numFmtId="0" fontId="46" fillId="3" borderId="29" xfId="0" applyFont="1" applyFill="1" applyBorder="1"/>
    <xf numFmtId="170" fontId="46" fillId="3" borderId="0" xfId="0" applyNumberFormat="1" applyFont="1" applyFill="1"/>
    <xf numFmtId="3" fontId="46" fillId="3" borderId="0" xfId="0" applyNumberFormat="1" applyFont="1" applyFill="1"/>
    <xf numFmtId="4" fontId="2" fillId="0" borderId="13" xfId="0" applyNumberFormat="1" applyFont="1" applyFill="1" applyBorder="1"/>
    <xf numFmtId="4" fontId="2" fillId="0" borderId="20" xfId="0" applyNumberFormat="1" applyFont="1" applyFill="1" applyBorder="1"/>
    <xf numFmtId="4" fontId="2" fillId="0" borderId="14" xfId="0" applyNumberFormat="1" applyFont="1" applyFill="1" applyBorder="1"/>
    <xf numFmtId="0" fontId="23" fillId="0" borderId="0" xfId="0" applyFont="1" applyFill="1"/>
    <xf numFmtId="0" fontId="32" fillId="0" borderId="0" xfId="0" applyFont="1" applyFill="1"/>
    <xf numFmtId="0" fontId="46" fillId="0" borderId="0" xfId="0" applyFont="1" applyFill="1"/>
    <xf numFmtId="0" fontId="23" fillId="0" borderId="0" xfId="0" applyFont="1" applyFill="1" applyBorder="1" applyAlignment="1">
      <alignment horizontal="right" wrapText="1"/>
    </xf>
    <xf numFmtId="0" fontId="74" fillId="0" borderId="13" xfId="0" applyFont="1" applyFill="1" applyBorder="1" applyAlignment="1">
      <alignment horizontal="right" wrapText="1"/>
    </xf>
    <xf numFmtId="3" fontId="74" fillId="3" borderId="13" xfId="0" applyNumberFormat="1" applyFont="1" applyFill="1" applyBorder="1"/>
    <xf numFmtId="3" fontId="74" fillId="3" borderId="20" xfId="0" applyNumberFormat="1" applyFont="1" applyFill="1" applyBorder="1"/>
    <xf numFmtId="165" fontId="74" fillId="3" borderId="20" xfId="0" applyNumberFormat="1" applyFont="1" applyFill="1" applyBorder="1"/>
    <xf numFmtId="3" fontId="74" fillId="3" borderId="14" xfId="0" applyNumberFormat="1" applyFont="1" applyFill="1" applyBorder="1"/>
    <xf numFmtId="166" fontId="23" fillId="0" borderId="10" xfId="2" applyNumberFormat="1" applyFont="1" applyFill="1" applyBorder="1" applyAlignment="1">
      <alignment horizontal="right" vertical="center"/>
    </xf>
    <xf numFmtId="166" fontId="23" fillId="0" borderId="9" xfId="2" applyNumberFormat="1" applyFont="1" applyFill="1" applyBorder="1" applyAlignment="1">
      <alignment horizontal="right" vertical="center"/>
    </xf>
    <xf numFmtId="166" fontId="65" fillId="11" borderId="0" xfId="2" applyNumberFormat="1" applyFont="1" applyFill="1" applyBorder="1" applyAlignment="1">
      <alignment horizontal="right"/>
    </xf>
    <xf numFmtId="166" fontId="23" fillId="0" borderId="11" xfId="2" applyNumberFormat="1" applyFont="1" applyFill="1" applyBorder="1" applyAlignment="1">
      <alignment horizontal="right" vertical="center"/>
    </xf>
    <xf numFmtId="0" fontId="23" fillId="0" borderId="11" xfId="0" applyFont="1" applyFill="1" applyBorder="1" applyAlignment="1">
      <alignment horizontal="left" vertical="center" indent="1"/>
    </xf>
    <xf numFmtId="0" fontId="23" fillId="0" borderId="11" xfId="0" applyFont="1" applyFill="1" applyBorder="1" applyAlignment="1">
      <alignment vertical="center"/>
    </xf>
    <xf numFmtId="3" fontId="23" fillId="0" borderId="11" xfId="0" applyNumberFormat="1" applyFont="1" applyFill="1" applyBorder="1" applyAlignment="1">
      <alignment vertical="center"/>
    </xf>
    <xf numFmtId="166" fontId="65" fillId="11" borderId="0" xfId="2" applyNumberFormat="1" applyFont="1" applyFill="1" applyBorder="1" applyAlignment="1">
      <alignment horizontal="right" vertical="center"/>
    </xf>
    <xf numFmtId="0" fontId="32" fillId="0" borderId="0" xfId="0" applyFont="1" applyFill="1" applyAlignment="1">
      <alignment vertical="center"/>
    </xf>
    <xf numFmtId="0" fontId="40" fillId="3" borderId="0" xfId="0" applyFont="1" applyFill="1" applyAlignment="1">
      <alignment vertical="center"/>
    </xf>
    <xf numFmtId="0" fontId="0" fillId="0" borderId="0" xfId="0" applyFill="1" applyAlignment="1">
      <alignment vertical="center"/>
    </xf>
    <xf numFmtId="3" fontId="76" fillId="0" borderId="0" xfId="0" applyNumberFormat="1" applyFont="1" applyFill="1" applyAlignment="1">
      <alignment vertical="center"/>
    </xf>
    <xf numFmtId="0" fontId="46" fillId="3" borderId="0" xfId="0" applyFont="1" applyFill="1" applyAlignment="1">
      <alignment vertical="center"/>
    </xf>
    <xf numFmtId="0" fontId="32" fillId="3" borderId="0" xfId="0" applyFont="1" applyFill="1" applyAlignment="1">
      <alignment vertical="center"/>
    </xf>
    <xf numFmtId="166" fontId="26" fillId="0" borderId="20" xfId="2" applyNumberFormat="1" applyFont="1" applyFill="1" applyBorder="1"/>
    <xf numFmtId="4" fontId="26" fillId="0" borderId="13" xfId="3" applyNumberFormat="1" applyFont="1" applyFill="1" applyBorder="1" applyAlignment="1">
      <alignment horizontal="right" wrapText="1"/>
    </xf>
    <xf numFmtId="4" fontId="24" fillId="0" borderId="0" xfId="3" applyNumberFormat="1" applyFont="1" applyFill="1" applyAlignment="1">
      <alignment horizontal="right"/>
    </xf>
    <xf numFmtId="166" fontId="23" fillId="0" borderId="0" xfId="2" applyNumberFormat="1" applyFont="1" applyFill="1" applyAlignment="1">
      <alignment horizontal="center"/>
    </xf>
    <xf numFmtId="0" fontId="10" fillId="0" borderId="0" xfId="0" applyFont="1" applyFill="1" applyBorder="1"/>
    <xf numFmtId="4" fontId="31" fillId="0" borderId="0" xfId="0" applyNumberFormat="1" applyFont="1" applyFill="1" applyBorder="1"/>
    <xf numFmtId="3" fontId="23" fillId="0" borderId="20" xfId="0" applyNumberFormat="1" applyFont="1" applyFill="1" applyBorder="1"/>
    <xf numFmtId="3" fontId="23" fillId="0" borderId="14" xfId="0" applyNumberFormat="1" applyFont="1" applyFill="1" applyBorder="1"/>
    <xf numFmtId="3" fontId="23" fillId="0" borderId="13" xfId="0" applyNumberFormat="1" applyFont="1" applyFill="1" applyBorder="1"/>
    <xf numFmtId="0" fontId="26" fillId="0" borderId="0" xfId="0" applyFont="1" applyFill="1" applyBorder="1" applyAlignment="1">
      <alignment horizontal="right"/>
    </xf>
    <xf numFmtId="4" fontId="26" fillId="0" borderId="0" xfId="0" applyNumberFormat="1" applyFont="1" applyFill="1" applyBorder="1"/>
    <xf numFmtId="3" fontId="26" fillId="0" borderId="0" xfId="0" applyNumberFormat="1" applyFont="1" applyFill="1" applyBorder="1"/>
    <xf numFmtId="0" fontId="10" fillId="0" borderId="13" xfId="0" applyFont="1" applyFill="1" applyBorder="1" applyAlignment="1">
      <alignment horizontal="left" indent="1"/>
    </xf>
    <xf numFmtId="0" fontId="10" fillId="0" borderId="14" xfId="0" applyFont="1" applyFill="1" applyBorder="1" applyAlignment="1">
      <alignment horizontal="left" indent="1"/>
    </xf>
    <xf numFmtId="0" fontId="10" fillId="0" borderId="20" xfId="0" applyFont="1" applyFill="1" applyBorder="1" applyAlignment="1">
      <alignment horizontal="left" indent="1"/>
    </xf>
    <xf numFmtId="4" fontId="26" fillId="0" borderId="14" xfId="0" applyNumberFormat="1" applyFont="1" applyFill="1" applyBorder="1"/>
    <xf numFmtId="3" fontId="26" fillId="0" borderId="14" xfId="0" applyNumberFormat="1" applyFont="1" applyFill="1" applyBorder="1"/>
    <xf numFmtId="4" fontId="26" fillId="0" borderId="20" xfId="0" applyNumberFormat="1" applyFont="1" applyFill="1" applyBorder="1" applyAlignment="1">
      <alignment wrapText="1"/>
    </xf>
    <xf numFmtId="3" fontId="26" fillId="0" borderId="20" xfId="0" applyNumberFormat="1" applyFont="1" applyFill="1" applyBorder="1"/>
    <xf numFmtId="3" fontId="59" fillId="11" borderId="0" xfId="0" applyNumberFormat="1" applyFont="1" applyFill="1" applyBorder="1" applyAlignment="1">
      <alignment horizontal="right"/>
    </xf>
    <xf numFmtId="0" fontId="10" fillId="0" borderId="0" xfId="0" applyFont="1" applyFill="1" applyBorder="1" applyAlignment="1">
      <alignment horizontal="left" indent="1"/>
    </xf>
    <xf numFmtId="3" fontId="10" fillId="0" borderId="0" xfId="0" applyNumberFormat="1" applyFont="1" applyFill="1" applyBorder="1"/>
    <xf numFmtId="0" fontId="5" fillId="16" borderId="0" xfId="0" applyFont="1" applyFill="1"/>
    <xf numFmtId="0" fontId="23" fillId="0" borderId="0" xfId="0" applyFont="1" applyFill="1"/>
    <xf numFmtId="0" fontId="32" fillId="0" borderId="0" xfId="0" applyFont="1" applyFill="1"/>
    <xf numFmtId="0" fontId="80" fillId="0" borderId="0" xfId="48" applyFill="1"/>
    <xf numFmtId="0" fontId="10" fillId="0" borderId="20" xfId="0" applyFont="1" applyFill="1" applyBorder="1" applyAlignment="1">
      <alignment horizontal="left" indent="2"/>
    </xf>
    <xf numFmtId="4" fontId="26" fillId="0" borderId="20" xfId="0" applyNumberFormat="1" applyFont="1" applyFill="1" applyBorder="1"/>
    <xf numFmtId="4" fontId="23" fillId="0" borderId="20" xfId="0" applyNumberFormat="1" applyFont="1" applyFill="1" applyBorder="1" applyAlignment="1">
      <alignment horizontal="left" indent="1"/>
    </xf>
    <xf numFmtId="3" fontId="23" fillId="0" borderId="20" xfId="0" applyNumberFormat="1" applyFont="1" applyFill="1" applyBorder="1" applyAlignment="1">
      <alignment horizontal="right"/>
    </xf>
    <xf numFmtId="0" fontId="10" fillId="0" borderId="20" xfId="0" applyFont="1" applyFill="1" applyBorder="1"/>
    <xf numFmtId="4" fontId="23" fillId="0" borderId="14" xfId="0" applyNumberFormat="1" applyFont="1" applyFill="1" applyBorder="1" applyAlignment="1">
      <alignment horizontal="left" indent="1"/>
    </xf>
    <xf numFmtId="3" fontId="23" fillId="0" borderId="14" xfId="0" applyNumberFormat="1" applyFont="1" applyFill="1" applyBorder="1" applyAlignment="1">
      <alignment horizontal="right"/>
    </xf>
    <xf numFmtId="4" fontId="28" fillId="0" borderId="0" xfId="0" applyNumberFormat="1" applyFont="1" applyFill="1" applyBorder="1" applyAlignment="1">
      <alignment horizontal="right" wrapText="1"/>
    </xf>
    <xf numFmtId="0" fontId="32" fillId="0" borderId="0" xfId="0" applyFont="1" applyFill="1"/>
    <xf numFmtId="3" fontId="23" fillId="0" borderId="11" xfId="0" applyNumberFormat="1" applyFont="1" applyFill="1" applyBorder="1" applyAlignment="1">
      <alignment vertical="top"/>
    </xf>
    <xf numFmtId="174" fontId="32" fillId="0" borderId="0" xfId="0" applyNumberFormat="1" applyFont="1" applyFill="1"/>
    <xf numFmtId="0" fontId="0" fillId="3" borderId="0" xfId="0" applyFill="1"/>
    <xf numFmtId="0" fontId="10" fillId="3" borderId="0" xfId="0" applyFont="1" applyFill="1" applyBorder="1"/>
    <xf numFmtId="4" fontId="31" fillId="3" borderId="0" xfId="0" applyNumberFormat="1" applyFont="1" applyFill="1" applyBorder="1"/>
    <xf numFmtId="3" fontId="23" fillId="3" borderId="13" xfId="0" applyNumberFormat="1" applyFont="1" applyFill="1" applyBorder="1"/>
    <xf numFmtId="4" fontId="10" fillId="3" borderId="13" xfId="0" applyNumberFormat="1" applyFont="1" applyFill="1" applyBorder="1" applyAlignment="1">
      <alignment horizontal="left" indent="1"/>
    </xf>
    <xf numFmtId="3" fontId="26" fillId="3" borderId="0" xfId="0" applyNumberFormat="1" applyFont="1" applyFill="1" applyBorder="1" applyAlignment="1">
      <alignment horizontal="right"/>
    </xf>
    <xf numFmtId="4" fontId="26" fillId="3" borderId="0" xfId="0" applyNumberFormat="1" applyFont="1" applyFill="1" applyBorder="1"/>
    <xf numFmtId="0" fontId="10" fillId="3" borderId="0" xfId="0" applyFont="1" applyFill="1"/>
    <xf numFmtId="3" fontId="10" fillId="3" borderId="0" xfId="0" applyNumberFormat="1" applyFont="1" applyFill="1" applyBorder="1"/>
    <xf numFmtId="3" fontId="26" fillId="3" borderId="14" xfId="0" applyNumberFormat="1" applyFont="1" applyFill="1" applyBorder="1"/>
    <xf numFmtId="4" fontId="26" fillId="3" borderId="14" xfId="0" applyNumberFormat="1" applyFont="1" applyFill="1" applyBorder="1" applyAlignment="1">
      <alignment wrapText="1"/>
    </xf>
    <xf numFmtId="0" fontId="26" fillId="3" borderId="0" xfId="0" applyFont="1" applyFill="1" applyBorder="1" applyAlignment="1">
      <alignment horizontal="right"/>
    </xf>
    <xf numFmtId="0" fontId="81" fillId="3" borderId="0" xfId="0" applyFont="1" applyFill="1"/>
    <xf numFmtId="0" fontId="5" fillId="3" borderId="0" xfId="0" applyFont="1" applyFill="1"/>
    <xf numFmtId="3" fontId="23" fillId="3" borderId="14" xfId="0" applyNumberFormat="1" applyFont="1" applyFill="1" applyBorder="1" applyAlignment="1">
      <alignment horizontal="right"/>
    </xf>
    <xf numFmtId="4" fontId="23" fillId="3" borderId="14" xfId="0" applyNumberFormat="1" applyFont="1" applyFill="1" applyBorder="1" applyAlignment="1">
      <alignment horizontal="left" indent="1"/>
    </xf>
    <xf numFmtId="0" fontId="10" fillId="3" borderId="20" xfId="0" applyFont="1" applyFill="1" applyBorder="1"/>
    <xf numFmtId="0" fontId="10" fillId="3" borderId="20" xfId="0" applyFont="1" applyFill="1" applyBorder="1" applyAlignment="1">
      <alignment horizontal="left" indent="1"/>
    </xf>
    <xf numFmtId="3" fontId="23" fillId="3" borderId="20" xfId="0" applyNumberFormat="1" applyFont="1" applyFill="1" applyBorder="1"/>
    <xf numFmtId="4" fontId="10" fillId="3" borderId="20" xfId="0" applyNumberFormat="1" applyFont="1" applyFill="1" applyBorder="1" applyAlignment="1">
      <alignment horizontal="left" indent="2"/>
    </xf>
    <xf numFmtId="3" fontId="23" fillId="3" borderId="20" xfId="0" applyNumberFormat="1" applyFont="1" applyFill="1" applyBorder="1" applyAlignment="1">
      <alignment horizontal="right"/>
    </xf>
    <xf numFmtId="4" fontId="23" fillId="3" borderId="20" xfId="0" applyNumberFormat="1" applyFont="1" applyFill="1" applyBorder="1" applyAlignment="1">
      <alignment horizontal="left" indent="1"/>
    </xf>
    <xf numFmtId="0" fontId="10" fillId="3" borderId="20" xfId="0" applyFont="1" applyFill="1" applyBorder="1" applyAlignment="1">
      <alignment horizontal="left" indent="2"/>
    </xf>
    <xf numFmtId="3" fontId="26" fillId="3" borderId="20" xfId="0" applyNumberFormat="1" applyFont="1" applyFill="1" applyBorder="1"/>
    <xf numFmtId="4" fontId="26" fillId="3" borderId="20" xfId="0" applyNumberFormat="1" applyFont="1" applyFill="1" applyBorder="1"/>
    <xf numFmtId="3" fontId="23" fillId="3" borderId="14" xfId="0" applyNumberFormat="1" applyFont="1" applyFill="1" applyBorder="1"/>
    <xf numFmtId="0" fontId="0" fillId="3" borderId="0" xfId="0" applyNumberFormat="1" applyFill="1"/>
    <xf numFmtId="0" fontId="5" fillId="3" borderId="20" xfId="0" applyFont="1" applyFill="1" applyBorder="1"/>
    <xf numFmtId="3" fontId="0" fillId="3" borderId="0" xfId="0" applyNumberFormat="1" applyFill="1"/>
    <xf numFmtId="0" fontId="76" fillId="3" borderId="0" xfId="0" applyFont="1" applyFill="1"/>
    <xf numFmtId="3" fontId="26" fillId="3" borderId="0" xfId="0" applyNumberFormat="1" applyFont="1" applyFill="1" applyBorder="1"/>
    <xf numFmtId="0" fontId="75" fillId="0" borderId="0" xfId="0" applyFont="1" applyFill="1" applyBorder="1" applyAlignment="1">
      <alignment horizontal="center"/>
    </xf>
    <xf numFmtId="0" fontId="66" fillId="0" borderId="0" xfId="0" applyFont="1" applyFill="1" applyBorder="1"/>
    <xf numFmtId="166" fontId="75" fillId="0" borderId="0" xfId="2" applyNumberFormat="1" applyFont="1" applyFill="1" applyBorder="1" applyAlignment="1">
      <alignment horizontal="center"/>
    </xf>
    <xf numFmtId="0" fontId="30" fillId="0" borderId="0" xfId="5" applyFont="1" applyFill="1" applyBorder="1" applyAlignment="1"/>
    <xf numFmtId="0" fontId="0" fillId="0" borderId="0" xfId="0" applyFill="1" applyAlignment="1">
      <alignment vertical="top"/>
    </xf>
    <xf numFmtId="166" fontId="23" fillId="0" borderId="11" xfId="2" applyNumberFormat="1" applyFont="1" applyFill="1" applyBorder="1" applyAlignment="1">
      <alignment horizontal="right" vertical="top"/>
    </xf>
    <xf numFmtId="0" fontId="32" fillId="0" borderId="0" xfId="0" quotePrefix="1" applyFont="1" applyFill="1" applyBorder="1" applyAlignment="1">
      <alignment vertical="top"/>
    </xf>
    <xf numFmtId="3" fontId="29" fillId="0" borderId="37" xfId="5" applyNumberFormat="1" applyFont="1" applyFill="1" applyBorder="1" applyAlignment="1">
      <alignment horizontal="left"/>
    </xf>
    <xf numFmtId="4" fontId="10" fillId="3" borderId="13" xfId="0" applyNumberFormat="1" applyFont="1" applyFill="1" applyBorder="1" applyAlignment="1">
      <alignment horizontal="left" indent="2"/>
    </xf>
    <xf numFmtId="0" fontId="59" fillId="11" borderId="10" xfId="3" applyFont="1" applyFill="1" applyBorder="1" applyAlignment="1">
      <alignment indent="1"/>
    </xf>
    <xf numFmtId="0" fontId="59" fillId="11" borderId="10" xfId="3" applyFont="1" applyFill="1" applyBorder="1"/>
    <xf numFmtId="3" fontId="59" fillId="11" borderId="10" xfId="3" applyNumberFormat="1" applyFont="1" applyFill="1" applyBorder="1"/>
    <xf numFmtId="166" fontId="59" fillId="11" borderId="10" xfId="3" applyNumberFormat="1" applyFont="1" applyFill="1" applyBorder="1"/>
    <xf numFmtId="165" fontId="59" fillId="11" borderId="10" xfId="3" applyNumberFormat="1" applyFont="1" applyFill="1" applyBorder="1" applyAlignment="1">
      <alignment horizontal="right"/>
    </xf>
    <xf numFmtId="0" fontId="32" fillId="0" borderId="0" xfId="0" applyFont="1" applyFill="1"/>
    <xf numFmtId="14" fontId="46" fillId="0" borderId="0" xfId="0" applyNumberFormat="1" applyFont="1" applyFill="1"/>
    <xf numFmtId="0" fontId="0" fillId="0" borderId="0" xfId="0" applyNumberFormat="1" applyFill="1"/>
    <xf numFmtId="4" fontId="10" fillId="3" borderId="0" xfId="0" applyNumberFormat="1" applyFont="1" applyFill="1" applyBorder="1" applyAlignment="1">
      <alignment horizontal="left" indent="1"/>
    </xf>
    <xf numFmtId="3" fontId="23" fillId="3" borderId="0" xfId="0" applyNumberFormat="1" applyFont="1" applyFill="1" applyBorder="1"/>
    <xf numFmtId="0" fontId="10" fillId="0" borderId="0" xfId="0" applyNumberFormat="1" applyFont="1" applyFill="1" applyBorder="1"/>
    <xf numFmtId="3" fontId="0" fillId="0" borderId="0" xfId="0" applyNumberFormat="1" applyFill="1"/>
    <xf numFmtId="0" fontId="82" fillId="3" borderId="0" xfId="7" applyFont="1" applyFill="1"/>
    <xf numFmtId="0" fontId="77" fillId="11" borderId="27" xfId="0" applyFont="1" applyFill="1" applyBorder="1" applyAlignment="1">
      <alignment horizontal="right"/>
    </xf>
    <xf numFmtId="0" fontId="59" fillId="11" borderId="38" xfId="0" applyFont="1" applyFill="1" applyBorder="1"/>
    <xf numFmtId="0" fontId="0" fillId="0" borderId="38" xfId="0" applyFill="1" applyBorder="1"/>
    <xf numFmtId="0" fontId="77" fillId="11" borderId="38" xfId="0" applyFont="1" applyFill="1" applyBorder="1" applyAlignment="1">
      <alignment horizontal="right"/>
    </xf>
    <xf numFmtId="170" fontId="59" fillId="11" borderId="38" xfId="1" applyNumberFormat="1" applyFont="1" applyFill="1" applyBorder="1"/>
    <xf numFmtId="0" fontId="59" fillId="11" borderId="39" xfId="0" applyFont="1" applyFill="1" applyBorder="1"/>
    <xf numFmtId="4" fontId="1" fillId="3" borderId="13" xfId="7" applyNumberFormat="1" applyFont="1" applyFill="1" applyBorder="1"/>
    <xf numFmtId="0" fontId="32" fillId="0" borderId="0" xfId="0" applyFont="1" applyFill="1"/>
    <xf numFmtId="0" fontId="0" fillId="0" borderId="0" xfId="0" applyNumberFormat="1" applyFill="1" applyAlignment="1">
      <alignment horizontal="right"/>
    </xf>
    <xf numFmtId="0" fontId="40" fillId="3" borderId="0" xfId="0" applyNumberFormat="1" applyFont="1" applyFill="1"/>
    <xf numFmtId="0" fontId="10" fillId="3" borderId="36" xfId="49" quotePrefix="1" applyNumberFormat="1" applyFont="1" applyBorder="1" applyAlignment="1">
      <alignment indent="1"/>
    </xf>
    <xf numFmtId="0" fontId="0" fillId="16" borderId="0" xfId="0" applyFill="1"/>
    <xf numFmtId="0" fontId="83" fillId="3" borderId="36" xfId="47" quotePrefix="1" applyFont="1" applyBorder="1" applyAlignment="1">
      <alignment indent="1"/>
    </xf>
    <xf numFmtId="3" fontId="23" fillId="0" borderId="0" xfId="3" applyNumberFormat="1" applyFont="1" applyFill="1"/>
    <xf numFmtId="0" fontId="32" fillId="0" borderId="0" xfId="0" applyFont="1" applyFill="1"/>
    <xf numFmtId="0" fontId="32" fillId="0" borderId="0" xfId="0" applyFont="1" applyFill="1"/>
    <xf numFmtId="4" fontId="10" fillId="3" borderId="0" xfId="0" applyNumberFormat="1" applyFont="1" applyFill="1" applyBorder="1" applyAlignment="1">
      <alignment horizontal="left" indent="2"/>
    </xf>
    <xf numFmtId="0" fontId="10" fillId="3" borderId="0" xfId="0" applyNumberFormat="1" applyFont="1" applyFill="1" applyBorder="1"/>
    <xf numFmtId="170" fontId="5" fillId="0" borderId="0" xfId="1" applyNumberFormat="1" applyFont="1"/>
    <xf numFmtId="0" fontId="32" fillId="0" borderId="0" xfId="0" applyFont="1" applyFill="1"/>
    <xf numFmtId="0" fontId="10" fillId="3" borderId="0" xfId="49" quotePrefix="1" applyNumberFormat="1" applyFont="1" applyBorder="1" applyAlignment="1">
      <alignment indent="1"/>
    </xf>
    <xf numFmtId="0" fontId="32" fillId="0" borderId="0" xfId="0" applyFont="1" applyFill="1"/>
    <xf numFmtId="0" fontId="84" fillId="3" borderId="36" xfId="47" quotePrefix="1" applyFont="1" applyBorder="1" applyAlignment="1">
      <alignment indent="1"/>
    </xf>
    <xf numFmtId="4" fontId="23" fillId="0" borderId="9" xfId="3" applyNumberFormat="1" applyFont="1" applyFill="1" applyBorder="1" applyAlignment="1">
      <alignment horizontal="right" wrapText="1"/>
    </xf>
    <xf numFmtId="4" fontId="23" fillId="0" borderId="10" xfId="3" applyNumberFormat="1" applyFont="1" applyFill="1" applyBorder="1" applyAlignment="1">
      <alignment horizontal="right" wrapText="1"/>
    </xf>
    <xf numFmtId="4" fontId="23" fillId="0" borderId="11" xfId="3" applyNumberFormat="1" applyFont="1" applyFill="1" applyBorder="1" applyAlignment="1">
      <alignment horizontal="right" wrapText="1"/>
    </xf>
    <xf numFmtId="0" fontId="32" fillId="0" borderId="0" xfId="0" applyFont="1" applyFill="1"/>
    <xf numFmtId="0" fontId="28" fillId="0" borderId="0" xfId="5" applyFont="1" applyFill="1" applyBorder="1" applyAlignment="1">
      <alignment horizontal="left" vertical="top" wrapText="1"/>
    </xf>
    <xf numFmtId="4" fontId="28" fillId="0" borderId="0" xfId="0" applyNumberFormat="1" applyFont="1" applyFill="1" applyAlignment="1">
      <alignment wrapText="1"/>
    </xf>
    <xf numFmtId="0" fontId="28" fillId="0" borderId="0" xfId="0" applyFont="1" applyFill="1" applyAlignment="1">
      <alignment wrapText="1"/>
    </xf>
    <xf numFmtId="0" fontId="31" fillId="0" borderId="0" xfId="0" applyFont="1" applyFill="1" applyAlignment="1">
      <alignment wrapText="1"/>
    </xf>
    <xf numFmtId="4" fontId="31" fillId="0" borderId="0" xfId="0" applyNumberFormat="1" applyFont="1" applyFill="1" applyAlignment="1">
      <alignment horizontal="right"/>
    </xf>
    <xf numFmtId="4" fontId="29" fillId="0" borderId="0" xfId="0" applyNumberFormat="1" applyFont="1" applyFill="1" applyAlignment="1">
      <alignment wrapText="1"/>
    </xf>
    <xf numFmtId="0" fontId="29" fillId="0" borderId="0" xfId="0" applyFont="1" applyFill="1" applyAlignment="1">
      <alignment wrapText="1"/>
    </xf>
    <xf numFmtId="0" fontId="23" fillId="0" borderId="0" xfId="0" applyFont="1" applyFill="1"/>
    <xf numFmtId="4" fontId="24" fillId="0" borderId="0" xfId="0" applyNumberFormat="1" applyFont="1" applyFill="1" applyAlignment="1">
      <alignment horizontal="right"/>
    </xf>
    <xf numFmtId="0" fontId="24" fillId="0" borderId="0" xfId="0" applyFont="1" applyFill="1" applyAlignment="1">
      <alignment horizontal="right"/>
    </xf>
    <xf numFmtId="4" fontId="32" fillId="0" borderId="0" xfId="10" applyNumberFormat="1" applyFont="1" applyFill="1" applyAlignment="1">
      <alignment horizontal="left" wrapText="1"/>
    </xf>
    <xf numFmtId="0" fontId="32" fillId="0" borderId="0" xfId="0" applyFont="1" applyFill="1"/>
    <xf numFmtId="3" fontId="23" fillId="0" borderId="9" xfId="0" applyNumberFormat="1" applyFont="1" applyFill="1" applyBorder="1" applyAlignment="1">
      <alignment vertical="center"/>
    </xf>
    <xf numFmtId="3" fontId="23" fillId="0" borderId="10" xfId="0" applyNumberFormat="1" applyFont="1" applyFill="1" applyBorder="1" applyAlignment="1">
      <alignment vertical="center"/>
    </xf>
    <xf numFmtId="3" fontId="23" fillId="0" borderId="11" xfId="0" applyNumberFormat="1" applyFont="1" applyFill="1" applyBorder="1" applyAlignment="1">
      <alignment vertical="center"/>
    </xf>
    <xf numFmtId="4" fontId="47" fillId="0" borderId="0" xfId="0" applyNumberFormat="1" applyFont="1" applyFill="1"/>
    <xf numFmtId="0" fontId="47" fillId="0" borderId="0" xfId="0" applyFont="1" applyFill="1"/>
    <xf numFmtId="0" fontId="23" fillId="0" borderId="0" xfId="0" applyFont="1" applyFill="1" applyBorder="1" applyAlignment="1">
      <alignment horizontal="right" wrapText="1"/>
    </xf>
    <xf numFmtId="3" fontId="65" fillId="11" borderId="0" xfId="0" applyNumberFormat="1" applyFont="1" applyFill="1" applyBorder="1"/>
    <xf numFmtId="0" fontId="40" fillId="0" borderId="0" xfId="0" applyFont="1" applyFill="1" applyAlignment="1">
      <alignment horizontal="center"/>
    </xf>
    <xf numFmtId="0" fontId="40" fillId="0" borderId="0" xfId="0" applyFont="1" applyFill="1" applyBorder="1" applyAlignment="1">
      <alignment horizontal="center"/>
    </xf>
    <xf numFmtId="0" fontId="46" fillId="0" borderId="0" xfId="0" applyFont="1" applyFill="1"/>
    <xf numFmtId="4" fontId="47" fillId="3" borderId="0" xfId="0" applyNumberFormat="1" applyFont="1" applyFill="1" applyAlignment="1">
      <alignment horizontal="left" vertical="top" wrapText="1"/>
    </xf>
    <xf numFmtId="4" fontId="23" fillId="3" borderId="0" xfId="0" applyNumberFormat="1" applyFont="1" applyFill="1" applyAlignment="1">
      <alignment horizontal="left" wrapText="1"/>
    </xf>
    <xf numFmtId="0" fontId="79" fillId="3" borderId="0" xfId="0" applyFont="1" applyFill="1" applyBorder="1" applyAlignment="1">
      <alignment horizontal="right"/>
    </xf>
    <xf numFmtId="0" fontId="65" fillId="11" borderId="0" xfId="0" applyFont="1" applyFill="1" applyBorder="1" applyAlignment="1">
      <alignment horizontal="left" vertical="top" wrapText="1"/>
    </xf>
    <xf numFmtId="4" fontId="47" fillId="0" borderId="0" xfId="0" applyNumberFormat="1" applyFont="1" applyFill="1" applyBorder="1" applyAlignment="1">
      <alignment horizontal="left" wrapText="1"/>
    </xf>
    <xf numFmtId="0" fontId="47" fillId="0" borderId="0" xfId="0" applyFont="1" applyFill="1" applyBorder="1" applyAlignment="1">
      <alignment horizontal="left" wrapText="1"/>
    </xf>
    <xf numFmtId="3" fontId="23" fillId="0" borderId="11" xfId="0" applyNumberFormat="1" applyFont="1" applyFill="1" applyBorder="1" applyAlignment="1">
      <alignment vertical="top"/>
    </xf>
    <xf numFmtId="0" fontId="23" fillId="0" borderId="11" xfId="0" applyFont="1" applyFill="1" applyBorder="1" applyAlignment="1">
      <alignment horizontal="left" vertical="top" wrapText="1" indent="1"/>
    </xf>
    <xf numFmtId="4" fontId="47" fillId="0" borderId="0" xfId="0" applyNumberFormat="1" applyFont="1" applyFill="1" applyAlignment="1">
      <alignment horizontal="left" vertical="top" wrapText="1"/>
    </xf>
    <xf numFmtId="0" fontId="66" fillId="0" borderId="0" xfId="0" applyFont="1" applyFill="1" applyAlignment="1">
      <alignment horizontal="left" vertical="top" wrapText="1"/>
    </xf>
    <xf numFmtId="4" fontId="31" fillId="0" borderId="0" xfId="0" applyNumberFormat="1" applyFont="1" applyFill="1" applyAlignment="1">
      <alignment horizontal="left" wrapText="1"/>
    </xf>
    <xf numFmtId="0" fontId="23" fillId="0" borderId="11" xfId="0" applyFont="1" applyFill="1" applyBorder="1" applyAlignment="1">
      <alignment horizontal="left" vertical="center" wrapText="1" indent="1"/>
    </xf>
    <xf numFmtId="4" fontId="23" fillId="0" borderId="0" xfId="0" applyNumberFormat="1" applyFont="1" applyFill="1" applyAlignment="1">
      <alignment horizontal="left" wrapText="1"/>
    </xf>
    <xf numFmtId="0" fontId="79" fillId="0" borderId="0" xfId="0" applyFont="1" applyFill="1" applyBorder="1" applyAlignment="1">
      <alignment horizontal="right"/>
    </xf>
    <xf numFmtId="4" fontId="31" fillId="0" borderId="0" xfId="0" applyNumberFormat="1" applyFont="1" applyFill="1" applyAlignment="1">
      <alignment horizontal="left" vertical="top" wrapText="1"/>
    </xf>
    <xf numFmtId="4" fontId="65" fillId="11" borderId="0" xfId="0" applyNumberFormat="1" applyFont="1" applyFill="1" applyBorder="1" applyAlignment="1">
      <alignment horizontal="left" vertical="top" wrapText="1"/>
    </xf>
    <xf numFmtId="0" fontId="23" fillId="0" borderId="9" xfId="0" applyFont="1" applyFill="1" applyBorder="1" applyAlignment="1">
      <alignment horizontal="left" vertical="top" wrapText="1" indent="1"/>
    </xf>
    <xf numFmtId="4" fontId="29" fillId="0" borderId="0" xfId="0" applyNumberFormat="1" applyFont="1" applyFill="1"/>
    <xf numFmtId="0" fontId="29" fillId="0" borderId="0" xfId="0" applyFont="1" applyFill="1"/>
    <xf numFmtId="0" fontId="23" fillId="0" borderId="0" xfId="0" applyFont="1" applyFill="1" applyBorder="1" applyAlignment="1">
      <alignment horizontal="left" wrapText="1"/>
    </xf>
    <xf numFmtId="4" fontId="29" fillId="0" borderId="0" xfId="0" applyNumberFormat="1" applyFont="1" applyFill="1" applyAlignment="1">
      <alignment horizontal="left"/>
    </xf>
    <xf numFmtId="4" fontId="24" fillId="0" borderId="0" xfId="3" applyNumberFormat="1" applyFont="1" applyFill="1" applyAlignment="1">
      <alignment horizontal="right"/>
    </xf>
    <xf numFmtId="4" fontId="23" fillId="0" borderId="0" xfId="3" applyNumberFormat="1" applyFont="1" applyFill="1" applyBorder="1" applyAlignment="1">
      <alignment horizontal="center" wrapText="1"/>
    </xf>
    <xf numFmtId="4" fontId="23" fillId="0" borderId="15" xfId="3" applyNumberFormat="1" applyFont="1" applyFill="1" applyBorder="1" applyAlignment="1">
      <alignment horizontal="center" wrapText="1"/>
    </xf>
    <xf numFmtId="4" fontId="31" fillId="0" borderId="0" xfId="3" applyNumberFormat="1" applyFont="1" applyFill="1" applyBorder="1" applyAlignment="1">
      <alignment horizontal="center" wrapText="1"/>
    </xf>
    <xf numFmtId="4" fontId="46" fillId="3" borderId="0" xfId="3" applyNumberFormat="1" applyFont="1" applyFill="1" applyAlignment="1">
      <alignment horizontal="right"/>
    </xf>
    <xf numFmtId="4" fontId="29" fillId="0" borderId="0" xfId="3" applyNumberFormat="1" applyFont="1" applyFill="1"/>
    <xf numFmtId="0" fontId="29" fillId="0" borderId="0" xfId="3" applyFont="1" applyFill="1"/>
    <xf numFmtId="0" fontId="44" fillId="5" borderId="0" xfId="3" applyFont="1" applyFill="1" applyBorder="1"/>
    <xf numFmtId="3" fontId="23" fillId="0" borderId="0" xfId="3" applyNumberFormat="1" applyFont="1" applyFill="1" applyAlignment="1">
      <alignment horizontal="center"/>
    </xf>
    <xf numFmtId="0" fontId="24" fillId="0" borderId="0" xfId="0" applyFont="1" applyFill="1"/>
    <xf numFmtId="0" fontId="23" fillId="0" borderId="0" xfId="0" applyFont="1" applyFill="1" applyAlignment="1">
      <alignment horizontal="left" vertical="top" wrapText="1"/>
    </xf>
    <xf numFmtId="0" fontId="29" fillId="0" borderId="0" xfId="0" applyFont="1" applyFill="1" applyAlignment="1">
      <alignment horizontal="left" vertical="top"/>
    </xf>
    <xf numFmtId="0" fontId="24" fillId="3" borderId="0" xfId="0" applyFont="1" applyFill="1" applyBorder="1" applyAlignment="1">
      <alignment horizontal="left" vertical="top" wrapText="1"/>
    </xf>
    <xf numFmtId="0" fontId="70" fillId="0" borderId="0" xfId="0" applyFont="1" applyFill="1" applyBorder="1" applyAlignment="1">
      <alignment horizontal="right" vertical="center"/>
    </xf>
    <xf numFmtId="170" fontId="70" fillId="0" borderId="0" xfId="1" applyNumberFormat="1" applyFont="1" applyFill="1" applyBorder="1" applyAlignment="1">
      <alignment horizontal="right" vertical="center"/>
    </xf>
    <xf numFmtId="0" fontId="24" fillId="3" borderId="0" xfId="7" applyFont="1" applyFill="1" applyBorder="1" applyAlignment="1">
      <alignment horizontal="left" vertical="top" wrapText="1"/>
    </xf>
    <xf numFmtId="4" fontId="24" fillId="3" borderId="0" xfId="7" applyNumberFormat="1" applyFont="1" applyFill="1" applyAlignment="1">
      <alignment horizontal="right"/>
    </xf>
    <xf numFmtId="0" fontId="28" fillId="0" borderId="0" xfId="4" applyFont="1" applyFill="1" applyAlignment="1">
      <alignment wrapText="1"/>
    </xf>
    <xf numFmtId="4" fontId="29" fillId="0" borderId="0" xfId="3" applyNumberFormat="1" applyFont="1" applyFill="1" applyBorder="1" applyAlignment="1">
      <alignment horizontal="left"/>
    </xf>
    <xf numFmtId="4" fontId="35" fillId="0" borderId="0" xfId="3" applyNumberFormat="1" applyFont="1" applyFill="1" applyBorder="1" applyAlignment="1">
      <alignment horizontal="right"/>
    </xf>
    <xf numFmtId="4" fontId="23" fillId="0" borderId="23" xfId="3" applyNumberFormat="1" applyFont="1" applyFill="1" applyBorder="1" applyAlignment="1">
      <alignment horizontal="center" wrapText="1"/>
    </xf>
    <xf numFmtId="4" fontId="24" fillId="0" borderId="0" xfId="3" applyNumberFormat="1" applyFont="1" applyFill="1" applyBorder="1" applyAlignment="1">
      <alignment horizontal="right"/>
    </xf>
    <xf numFmtId="4" fontId="23" fillId="0" borderId="0" xfId="3" applyNumberFormat="1" applyFont="1" applyFill="1" applyBorder="1" applyAlignment="1">
      <alignment wrapText="1"/>
    </xf>
    <xf numFmtId="0" fontId="23" fillId="0" borderId="0" xfId="3" applyFont="1" applyFill="1" applyBorder="1" applyAlignment="1">
      <alignment wrapText="1"/>
    </xf>
  </cellXfs>
  <cellStyles count="50">
    <cellStyle name="___col1" xfId="13" xr:uid="{00000000-0005-0000-0000-000000000000}"/>
    <cellStyle name="___col2" xfId="14" xr:uid="{00000000-0005-0000-0000-000001000000}"/>
    <cellStyle name="___col3" xfId="15" xr:uid="{00000000-0005-0000-0000-000002000000}"/>
    <cellStyle name="___row1" xfId="16" xr:uid="{00000000-0005-0000-0000-000003000000}"/>
    <cellStyle name="___row2" xfId="17" xr:uid="{00000000-0005-0000-0000-000004000000}"/>
    <cellStyle name="___row3" xfId="18" xr:uid="{00000000-0005-0000-0000-000005000000}"/>
    <cellStyle name="__col2" xfId="19" xr:uid="{00000000-0005-0000-0000-000006000000}"/>
    <cellStyle name="__col3" xfId="20" xr:uid="{00000000-0005-0000-0000-000007000000}"/>
    <cellStyle name="__page" xfId="21" xr:uid="{00000000-0005-0000-0000-000008000000}"/>
    <cellStyle name="__row2" xfId="22" xr:uid="{00000000-0005-0000-0000-000009000000}"/>
    <cellStyle name="__row3" xfId="23" xr:uid="{00000000-0005-0000-0000-00000A000000}"/>
    <cellStyle name="_col1" xfId="24" xr:uid="{00000000-0005-0000-0000-00000B000000}"/>
    <cellStyle name="_col2" xfId="25" xr:uid="{00000000-0005-0000-0000-00000C000000}"/>
    <cellStyle name="_col3" xfId="26" xr:uid="{00000000-0005-0000-0000-00000D000000}"/>
    <cellStyle name="_data" xfId="27" xr:uid="{00000000-0005-0000-0000-00000E000000}"/>
    <cellStyle name="_page" xfId="28" xr:uid="{00000000-0005-0000-0000-00000F000000}"/>
    <cellStyle name="_row1" xfId="29" xr:uid="{00000000-0005-0000-0000-000010000000}"/>
    <cellStyle name="_row2" xfId="30" xr:uid="{00000000-0005-0000-0000-000011000000}"/>
    <cellStyle name="_row3" xfId="31" xr:uid="{00000000-0005-0000-0000-000012000000}"/>
    <cellStyle name="0,00 Prozent" xfId="37" xr:uid="{00000000-0005-0000-0000-000013000000}"/>
    <cellStyle name="0,00 Zahlen" xfId="38" xr:uid="{00000000-0005-0000-0000-000014000000}"/>
    <cellStyle name="Datum" xfId="36" xr:uid="{00000000-0005-0000-0000-000015000000}"/>
    <cellStyle name="Euro" xfId="35" xr:uid="{00000000-0005-0000-0000-000016000000}"/>
    <cellStyle name="Komma" xfId="1" builtinId="3"/>
    <cellStyle name="Komma 2" xfId="6" xr:uid="{00000000-0005-0000-0000-000018000000}"/>
    <cellStyle name="Link" xfId="48" builtinId="8"/>
    <cellStyle name="Neutral 2" xfId="40" xr:uid="{00000000-0005-0000-0000-00001A000000}"/>
    <cellStyle name="Normal" xfId="47" xr:uid="{00000000-0005-0000-0000-00001B000000}"/>
    <cellStyle name="Normal 2" xfId="49" xr:uid="{00000000-0005-0000-0000-00001C000000}"/>
    <cellStyle name="Prozent" xfId="2" builtinId="5"/>
    <cellStyle name="Prozent 2" xfId="8" xr:uid="{00000000-0005-0000-0000-00001E000000}"/>
    <cellStyle name="Prozent 3" xfId="12" xr:uid="{00000000-0005-0000-0000-00001F000000}"/>
    <cellStyle name="Prozent 4" xfId="46" xr:uid="{00000000-0005-0000-0000-000020000000}"/>
    <cellStyle name="Schlecht 2" xfId="39" xr:uid="{00000000-0005-0000-0000-000021000000}"/>
    <cellStyle name="Standard" xfId="0" builtinId="0"/>
    <cellStyle name="Standard 10" xfId="43" xr:uid="{00000000-0005-0000-0000-000023000000}"/>
    <cellStyle name="Standard 11" xfId="44" xr:uid="{00000000-0005-0000-0000-000024000000}"/>
    <cellStyle name="Standard 12" xfId="45" xr:uid="{00000000-0005-0000-0000-000025000000}"/>
    <cellStyle name="Standard 2" xfId="3" xr:uid="{00000000-0005-0000-0000-000026000000}"/>
    <cellStyle name="Standard 2 2" xfId="7" xr:uid="{00000000-0005-0000-0000-000027000000}"/>
    <cellStyle name="Standard 2 3" xfId="10" xr:uid="{00000000-0005-0000-0000-000028000000}"/>
    <cellStyle name="Standard 3" xfId="4" xr:uid="{00000000-0005-0000-0000-000029000000}"/>
    <cellStyle name="Standard 4" xfId="5" xr:uid="{00000000-0005-0000-0000-00002A000000}"/>
    <cellStyle name="Standard 5" xfId="9" xr:uid="{00000000-0005-0000-0000-00002B000000}"/>
    <cellStyle name="Standard 6" xfId="11" xr:uid="{00000000-0005-0000-0000-00002C000000}"/>
    <cellStyle name="Standard 7" xfId="33" xr:uid="{00000000-0005-0000-0000-00002D000000}"/>
    <cellStyle name="Standard 8" xfId="34" xr:uid="{00000000-0005-0000-0000-00002E000000}"/>
    <cellStyle name="Standard 9" xfId="42" xr:uid="{00000000-0005-0000-0000-00002F000000}"/>
    <cellStyle name="Überschrift Gross" xfId="41" xr:uid="{00000000-0005-0000-0000-000030000000}"/>
    <cellStyle name="Währung" xfId="32" builtinId="4"/>
  </cellStyles>
  <dxfs count="114">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name val="Arial"/>
      </font>
      <fill>
        <patternFill patternType="solid">
          <fgColor indexed="64"/>
          <bgColor rgb="FFE34522"/>
        </patternFill>
      </fill>
      <border>
        <bottom style="thin">
          <color rgb="FFFFFFFF"/>
        </bottom>
      </border>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color rgb="FF575757"/>
      </font>
      <fill>
        <patternFill patternType="solid">
          <fgColor indexed="64"/>
          <bgColor rgb="FFE0E0E0"/>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color rgb="FF575757"/>
      </font>
      <fill>
        <patternFill patternType="solid">
          <fgColor indexed="64"/>
          <bgColor rgb="FFE0E0E0"/>
        </patternFill>
      </fill>
    </dxf>
    <dxf>
      <font>
        <color rgb="FF575757"/>
      </font>
      <fill>
        <patternFill patternType="solid">
          <fgColor indexed="64"/>
          <bgColor rgb="FFE0E0E0"/>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color rgb="FF575757"/>
      </font>
      <fill>
        <patternFill patternType="solid">
          <fgColor indexed="64"/>
          <bgColor rgb="FFE0E0E0"/>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b/>
        <color rgb="FFFFFFFF"/>
      </font>
      <fill>
        <patternFill patternType="solid">
          <fgColor indexed="64"/>
          <bgColor rgb="FFE34522"/>
        </patternFill>
      </fill>
    </dxf>
    <dxf>
      <font>
        <color rgb="FF575757"/>
      </font>
      <fill>
        <patternFill patternType="solid">
          <fgColor indexed="64"/>
          <bgColor rgb="FFE0E0E0"/>
        </patternFill>
      </fill>
    </dxf>
    <dxf>
      <font>
        <color rgb="FF575757"/>
      </font>
      <fill>
        <patternFill patternType="solid">
          <fgColor indexed="64"/>
          <bgColor rgb="FFE0E0E0"/>
        </patternFill>
      </fill>
    </dxf>
  </dxfs>
  <tableStyles count="0" defaultTableStyle="TableStyleMedium2" defaultPivotStyle="PivotStyleLight16"/>
  <colors>
    <mruColors>
      <color rgb="FF47010E"/>
      <color rgb="FFFF5050"/>
      <color rgb="FFFF7C80"/>
      <color rgb="FF720117"/>
      <color rgb="FFFF9999"/>
      <color rgb="FFE34623"/>
      <color rgb="FF575757"/>
      <color rgb="FFA6A6A6"/>
      <color rgb="FFB8B8B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image" Target="../media/image6.png"/></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7.xml.rels><?xml version="1.0" encoding="UTF-8" standalone="yes"?>
<Relationships xmlns="http://schemas.openxmlformats.org/package/2006/relationships"><Relationship Id="rId1" Type="http://schemas.openxmlformats.org/officeDocument/2006/relationships/image" Target="../media/image7.jp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50000"/>
              </a:schemeClr>
            </a:solidFill>
            <a:ln>
              <a:noFill/>
            </a:ln>
            <a:effectLst/>
          </c:spPr>
          <c:invertIfNegative val="0"/>
          <c:dLbls>
            <c:dLbl>
              <c:idx val="0"/>
              <c:tx>
                <c:rich>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fld id="{61A2C837-EC44-4222-A0BC-819BDE7774A1}" type="CELLRANGE">
                      <a:rPr lang="en-US">
                        <a:solidFill>
                          <a:schemeClr val="bg1"/>
                        </a:solidFill>
                      </a:rPr>
                      <a:pPr>
                        <a:defRPr>
                          <a:solidFill>
                            <a:schemeClr val="bg1"/>
                          </a:solidFill>
                        </a:defRPr>
                      </a:pPr>
                      <a:t>[ZELLBEREICH]</a:t>
                    </a:fld>
                    <a:endParaRPr lang="de-DE"/>
                  </a:p>
                </c:rich>
              </c:tx>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e-DE"/>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E8E-4668-A1DF-A3C68B1FC682}"/>
                </c:ext>
              </c:extLst>
            </c:dLbl>
            <c:dLbl>
              <c:idx val="1"/>
              <c:tx>
                <c:rich>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fld id="{04585157-6E1B-4598-91F6-3E385AF32461}" type="CELLRANGE">
                      <a:rPr lang="en-US">
                        <a:solidFill>
                          <a:schemeClr val="bg1"/>
                        </a:solidFill>
                      </a:rPr>
                      <a:pPr>
                        <a:defRPr>
                          <a:solidFill>
                            <a:schemeClr val="bg1"/>
                          </a:solidFill>
                        </a:defRPr>
                      </a:pPr>
                      <a:t>[ZELLBEREICH]</a:t>
                    </a:fld>
                    <a:endParaRPr lang="de-DE"/>
                  </a:p>
                </c:rich>
              </c:tx>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e-DE"/>
                </a:p>
              </c:txPr>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E8E-4668-A1DF-A3C68B1FC682}"/>
                </c:ext>
              </c:extLst>
            </c:dLbl>
            <c:dLbl>
              <c:idx val="2"/>
              <c:layout>
                <c:manualLayout>
                  <c:x val="5.314777513275957E-3"/>
                  <c:y val="0"/>
                </c:manualLayout>
              </c:layout>
              <c:tx>
                <c:rich>
                  <a:bodyPr/>
                  <a:lstStyle/>
                  <a:p>
                    <a:fld id="{D3326BFC-3733-4DDE-9782-3823BCE0AC6C}"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E8E-4668-A1DF-A3C68B1FC682}"/>
                </c:ext>
              </c:extLst>
            </c:dLbl>
            <c:dLbl>
              <c:idx val="3"/>
              <c:layout>
                <c:manualLayout>
                  <c:x val="9.7463834462551795E-3"/>
                  <c:y val="8.8887828113974335E-17"/>
                </c:manualLayout>
              </c:layout>
              <c:tx>
                <c:rich>
                  <a:bodyPr/>
                  <a:lstStyle/>
                  <a:p>
                    <a:fld id="{C4E3760B-2E55-4926-8BAC-E28C60C339E1}"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E8E-4668-A1DF-A3C68B1FC68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de-DE"/>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'Excec_Summary (2)'!$N$42:$R$42</c15:sqref>
                  </c15:fullRef>
                </c:ext>
              </c:extLst>
              <c:f>'Excec_Summary (2)'!$N$42:$Q$42</c:f>
              <c:strCache>
                <c:ptCount val="4"/>
                <c:pt idx="0">
                  <c:v>Excellent Science</c:v>
                </c:pt>
                <c:pt idx="1">
                  <c:v>Global Challenges and European Industrial Competitiveness</c:v>
                </c:pt>
                <c:pt idx="2">
                  <c:v>Innovative Europe</c:v>
                </c:pt>
                <c:pt idx="3">
                  <c:v>Widening Participation and Strengthening the European Research Area</c:v>
                </c:pt>
              </c:strCache>
            </c:strRef>
          </c:cat>
          <c:val>
            <c:numRef>
              <c:extLst>
                <c:ext xmlns:c15="http://schemas.microsoft.com/office/drawing/2012/chart" uri="{02D57815-91ED-43cb-92C2-25804820EDAC}">
                  <c15:fullRef>
                    <c15:sqref>'Excec_Summary (2)'!$N$43:$R$43</c15:sqref>
                  </c15:fullRef>
                </c:ext>
              </c:extLst>
              <c:f>'Excec_Summary (2)'!$N$43:$Q$43</c:f>
              <c:numCache>
                <c:formatCode>0.0</c:formatCode>
                <c:ptCount val="4"/>
                <c:pt idx="0">
                  <c:v>609.70869416000107</c:v>
                </c:pt>
                <c:pt idx="1">
                  <c:v>1099.47630349</c:v>
                </c:pt>
                <c:pt idx="2">
                  <c:v>120.36075111</c:v>
                </c:pt>
                <c:pt idx="3">
                  <c:v>26.65581869</c:v>
                </c:pt>
              </c:numCache>
            </c:numRef>
          </c:val>
          <c:extLst>
            <c:ext xmlns:c15="http://schemas.microsoft.com/office/drawing/2012/chart" uri="{02D57815-91ED-43cb-92C2-25804820EDAC}">
              <c15:datalabelsRange>
                <c15:f>'Excec_Summary (2)'!$N$44:$R$44</c15:f>
                <c15:dlblRangeCache>
                  <c:ptCount val="5"/>
                  <c:pt idx="0">
                    <c:v>609,7 Mio. €</c:v>
                  </c:pt>
                  <c:pt idx="1">
                    <c:v>1.099,5 Mio. €</c:v>
                  </c:pt>
                  <c:pt idx="2">
                    <c:v>120,4 Mio. €</c:v>
                  </c:pt>
                  <c:pt idx="3">
                    <c:v>26,7 Mio. €</c:v>
                  </c:pt>
                  <c:pt idx="4">
                    <c:v>0,0 Mio. €</c:v>
                  </c:pt>
                </c15:dlblRangeCache>
              </c15:datalabelsRange>
            </c:ext>
            <c:ext xmlns:c16="http://schemas.microsoft.com/office/drawing/2014/chart" uri="{C3380CC4-5D6E-409C-BE32-E72D297353CC}">
              <c16:uniqueId val="{00000000-7E8E-4668-A1DF-A3C68B1FC682}"/>
            </c:ext>
          </c:extLst>
        </c:ser>
        <c:dLbls>
          <c:showLegendKey val="0"/>
          <c:showVal val="0"/>
          <c:showCatName val="0"/>
          <c:showSerName val="0"/>
          <c:showPercent val="0"/>
          <c:showBubbleSize val="0"/>
        </c:dLbls>
        <c:gapWidth val="20"/>
        <c:axId val="232561888"/>
        <c:axId val="232574368"/>
      </c:barChart>
      <c:catAx>
        <c:axId val="23256188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de-DE"/>
          </a:p>
        </c:txPr>
        <c:crossAx val="232574368"/>
        <c:crosses val="autoZero"/>
        <c:auto val="1"/>
        <c:lblAlgn val="ctr"/>
        <c:lblOffset val="100"/>
        <c:noMultiLvlLbl val="0"/>
      </c:catAx>
      <c:valAx>
        <c:axId val="232574368"/>
        <c:scaling>
          <c:orientation val="minMax"/>
        </c:scaling>
        <c:delete val="1"/>
        <c:axPos val="t"/>
        <c:numFmt formatCode="0.0" sourceLinked="1"/>
        <c:majorTickMark val="out"/>
        <c:minorTickMark val="none"/>
        <c:tickLblPos val="nextTo"/>
        <c:crossAx val="232561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4784361144701E-2"/>
          <c:y val="0.12311722331368696"/>
          <c:w val="0.96453043127771065"/>
          <c:h val="0.75309520494614013"/>
        </c:manualLayout>
      </c:layout>
      <c:barChart>
        <c:barDir val="col"/>
        <c:grouping val="clustered"/>
        <c:varyColors val="0"/>
        <c:ser>
          <c:idx val="0"/>
          <c:order val="0"/>
          <c:tx>
            <c:strRef>
              <c:f>'uebb_Innov Europe'!$E$6</c:f>
              <c:strCache>
                <c:ptCount val="1"/>
                <c:pt idx="0">
                  <c:v>Beteiligungen</c:v>
                </c:pt>
              </c:strCache>
            </c:strRef>
          </c:tx>
          <c:spPr>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'uebb_Innov Europe'!$D$7:$D$9</c:f>
              <c:strCache>
                <c:ptCount val="3"/>
                <c:pt idx="0">
                  <c:v>The European Innovation Council (EIC)</c:v>
                </c:pt>
                <c:pt idx="1">
                  <c:v>European innovation ecosystems</c:v>
                </c:pt>
                <c:pt idx="2">
                  <c:v>The European Institute of Innovation and Technology (EIT)</c:v>
                </c:pt>
              </c:strCache>
            </c:strRef>
          </c:cat>
          <c:val>
            <c:numRef>
              <c:f>'uebb_Innov Europe'!$E$7:$E$9</c:f>
              <c:numCache>
                <c:formatCode>0.0%</c:formatCode>
                <c:ptCount val="3"/>
                <c:pt idx="0">
                  <c:v>2.5571763010985054E-2</c:v>
                </c:pt>
                <c:pt idx="1">
                  <c:v>1.6903914590747332E-2</c:v>
                </c:pt>
                <c:pt idx="2">
                  <c:v>2.6490066225165563E-2</c:v>
                </c:pt>
              </c:numCache>
            </c:numRef>
          </c:val>
          <c:extLst>
            <c:ext xmlns:c16="http://schemas.microsoft.com/office/drawing/2014/chart" uri="{C3380CC4-5D6E-409C-BE32-E72D297353CC}">
              <c16:uniqueId val="{00000000-6167-42A8-B432-F680392EDCA8}"/>
            </c:ext>
          </c:extLst>
        </c:ser>
        <c:ser>
          <c:idx val="1"/>
          <c:order val="1"/>
          <c:tx>
            <c:strRef>
              <c:f>'uebb_Innov Europe'!$F$6</c:f>
              <c:strCache>
                <c:ptCount val="1"/>
                <c:pt idx="0">
                  <c:v>Förderungen</c:v>
                </c:pt>
              </c:strCache>
            </c:strRef>
          </c:tx>
          <c:spPr>
            <a:solidFill>
              <a:schemeClr val="accent2"/>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'uebb_Innov Europe'!$D$7:$D$9</c:f>
              <c:strCache>
                <c:ptCount val="3"/>
                <c:pt idx="0">
                  <c:v>The European Innovation Council (EIC)</c:v>
                </c:pt>
                <c:pt idx="1">
                  <c:v>European innovation ecosystems</c:v>
                </c:pt>
                <c:pt idx="2">
                  <c:v>The European Institute of Innovation and Technology (EIT)</c:v>
                </c:pt>
              </c:strCache>
            </c:strRef>
          </c:cat>
          <c:val>
            <c:numRef>
              <c:f>'uebb_Innov Europe'!$F$7:$F$9</c:f>
              <c:numCache>
                <c:formatCode>0.0%</c:formatCode>
                <c:ptCount val="3"/>
                <c:pt idx="0">
                  <c:v>2.4201825095980338E-2</c:v>
                </c:pt>
                <c:pt idx="1">
                  <c:v>2.7279424691430094E-2</c:v>
                </c:pt>
                <c:pt idx="2">
                  <c:v>2.3994840970804113E-3</c:v>
                </c:pt>
              </c:numCache>
            </c:numRef>
          </c:val>
          <c:extLst>
            <c:ext xmlns:c16="http://schemas.microsoft.com/office/drawing/2014/chart" uri="{C3380CC4-5D6E-409C-BE32-E72D297353CC}">
              <c16:uniqueId val="{00000001-6167-42A8-B432-F680392EDCA8}"/>
            </c:ext>
          </c:extLst>
        </c:ser>
        <c:ser>
          <c:idx val="2"/>
          <c:order val="2"/>
          <c:tx>
            <c:strRef>
              <c:f>'uebb_Innov Europe'!$G$6</c:f>
              <c:strCache>
                <c:ptCount val="1"/>
                <c:pt idx="0">
                  <c:v>Koordinationen</c:v>
                </c:pt>
              </c:strCache>
            </c:strRef>
          </c:tx>
          <c:spPr>
            <a:solidFill>
              <a:schemeClr val="accent3"/>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'uebb_Innov Europe'!$D$7:$D$9</c:f>
              <c:strCache>
                <c:ptCount val="3"/>
                <c:pt idx="0">
                  <c:v>The European Innovation Council (EIC)</c:v>
                </c:pt>
                <c:pt idx="1">
                  <c:v>European innovation ecosystems</c:v>
                </c:pt>
                <c:pt idx="2">
                  <c:v>The European Institute of Innovation and Technology (EIT)</c:v>
                </c:pt>
              </c:strCache>
            </c:strRef>
          </c:cat>
          <c:val>
            <c:numRef>
              <c:f>'uebb_Innov Europe'!$G$7:$G$9</c:f>
              <c:numCache>
                <c:formatCode>0.0%</c:formatCode>
                <c:ptCount val="3"/>
                <c:pt idx="0">
                  <c:v>2.2524436889077772E-2</c:v>
                </c:pt>
                <c:pt idx="1">
                  <c:v>2.1126760563380281E-2</c:v>
                </c:pt>
                <c:pt idx="2">
                  <c:v>0</c:v>
                </c:pt>
              </c:numCache>
            </c:numRef>
          </c:val>
          <c:extLst>
            <c:ext xmlns:c16="http://schemas.microsoft.com/office/drawing/2014/chart" uri="{C3380CC4-5D6E-409C-BE32-E72D297353CC}">
              <c16:uniqueId val="{00000002-6167-42A8-B432-F680392EDCA8}"/>
            </c:ext>
          </c:extLst>
        </c:ser>
        <c:dLbls>
          <c:showLegendKey val="0"/>
          <c:showVal val="0"/>
          <c:showCatName val="0"/>
          <c:showSerName val="0"/>
          <c:showPercent val="0"/>
          <c:showBubbleSize val="0"/>
        </c:dLbls>
        <c:gapWidth val="117"/>
        <c:axId val="327522176"/>
        <c:axId val="327523712"/>
      </c:barChart>
      <c:catAx>
        <c:axId val="327522176"/>
        <c:scaling>
          <c:orientation val="minMax"/>
        </c:scaling>
        <c:delete val="0"/>
        <c:axPos val="b"/>
        <c:numFmt formatCode="General" sourceLinked="0"/>
        <c:majorTickMark val="none"/>
        <c:minorTickMark val="none"/>
        <c:tickLblPos val="nextTo"/>
        <c:spPr>
          <a:ln>
            <a:noFill/>
          </a:ln>
        </c:spPr>
        <c:txPr>
          <a:bodyPr/>
          <a:lstStyle/>
          <a:p>
            <a:pPr>
              <a:defRPr sz="1100"/>
            </a:pPr>
            <a:endParaRPr lang="de-DE"/>
          </a:p>
        </c:txPr>
        <c:crossAx val="327523712"/>
        <c:crosses val="autoZero"/>
        <c:auto val="1"/>
        <c:lblAlgn val="ctr"/>
        <c:lblOffset val="100"/>
        <c:noMultiLvlLbl val="0"/>
      </c:catAx>
      <c:valAx>
        <c:axId val="327523712"/>
        <c:scaling>
          <c:orientation val="minMax"/>
        </c:scaling>
        <c:delete val="1"/>
        <c:axPos val="l"/>
        <c:numFmt formatCode="0.0%" sourceLinked="1"/>
        <c:majorTickMark val="out"/>
        <c:minorTickMark val="none"/>
        <c:tickLblPos val="nextTo"/>
        <c:crossAx val="327522176"/>
        <c:crosses val="autoZero"/>
        <c:crossBetween val="between"/>
        <c:majorUnit val="1.0000000000000002E-2"/>
      </c:valAx>
    </c:plotArea>
    <c:legend>
      <c:legendPos val="b"/>
      <c:layout>
        <c:manualLayout>
          <c:xMode val="edge"/>
          <c:yMode val="edge"/>
          <c:x val="0.27226308924201886"/>
          <c:y val="5.9726188450412242E-2"/>
          <c:w val="0.45708594769063782"/>
          <c:h val="4.1780032898638159E-2"/>
        </c:manualLayout>
      </c:layout>
      <c:overlay val="0"/>
      <c:spPr>
        <a:ln>
          <a:noFill/>
        </a:ln>
      </c:spPr>
      <c:txPr>
        <a:bodyPr/>
        <a:lstStyle/>
        <a:p>
          <a:pPr>
            <a:defRPr sz="1200"/>
          </a:pPr>
          <a:endParaRPr lang="de-DE"/>
        </a:p>
      </c:txPr>
    </c:legend>
    <c:plotVisOnly val="1"/>
    <c:dispBlanksAs val="gap"/>
    <c:showDLblsOverMax val="0"/>
  </c:chart>
  <c:spPr>
    <a:ln>
      <a:noFill/>
    </a:ln>
  </c:spPr>
  <c:txPr>
    <a:bodyPr/>
    <a:lstStyle/>
    <a:p>
      <a:pPr>
        <a:defRPr sz="9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6496C8"/>
            </a:solidFill>
          </c:spPr>
          <c:invertIfNegative val="0"/>
          <c:dLbls>
            <c:numFmt formatCode="#,##0.00" sourceLinked="0"/>
            <c:spPr>
              <a:noFill/>
              <a:ln>
                <a:noFill/>
              </a:ln>
              <a:effectLst/>
            </c:spPr>
            <c:txPr>
              <a:bodyPr wrap="square" lIns="38100" tIns="19050" rIns="38100" bIns="19050" anchor="ctr">
                <a:spAutoFit/>
              </a:bodyPr>
              <a:lstStyle/>
              <a:p>
                <a:pPr>
                  <a:defRPr sz="12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'uebb_Innov Europe'!$D$27:$D$29</c:f>
              <c:strCache>
                <c:ptCount val="3"/>
                <c:pt idx="0">
                  <c:v>The European Innovation Council (EIC)</c:v>
                </c:pt>
                <c:pt idx="1">
                  <c:v>European innovation ecosystems</c:v>
                </c:pt>
                <c:pt idx="2">
                  <c:v>The European Institute of Innovation and Technology (EIT)</c:v>
                </c:pt>
              </c:strCache>
            </c:strRef>
          </c:cat>
          <c:val>
            <c:numRef>
              <c:f>'uebb_Innov Europe'!$E$27:$E$29</c:f>
              <c:numCache>
                <c:formatCode>#,##0.0</c:formatCode>
                <c:ptCount val="3"/>
                <c:pt idx="0">
                  <c:v>4118.31582927001</c:v>
                </c:pt>
                <c:pt idx="1">
                  <c:v>609.72870828999999</c:v>
                </c:pt>
                <c:pt idx="2">
                  <c:v>1690.7565025899999</c:v>
                </c:pt>
              </c:numCache>
            </c:numRef>
          </c:val>
          <c:extLst>
            <c:ext xmlns:c16="http://schemas.microsoft.com/office/drawing/2014/chart" uri="{C3380CC4-5D6E-409C-BE32-E72D297353CC}">
              <c16:uniqueId val="{00000000-27DE-4AAA-8B35-EFF703DFA9D7}"/>
            </c:ext>
          </c:extLst>
        </c:ser>
        <c:dLbls>
          <c:showLegendKey val="0"/>
          <c:showVal val="0"/>
          <c:showCatName val="0"/>
          <c:showSerName val="0"/>
          <c:showPercent val="0"/>
          <c:showBubbleSize val="0"/>
        </c:dLbls>
        <c:gapWidth val="150"/>
        <c:axId val="327552384"/>
        <c:axId val="327558272"/>
      </c:barChart>
      <c:catAx>
        <c:axId val="327552384"/>
        <c:scaling>
          <c:orientation val="minMax"/>
        </c:scaling>
        <c:delete val="0"/>
        <c:axPos val="b"/>
        <c:numFmt formatCode="General" sourceLinked="0"/>
        <c:majorTickMark val="out"/>
        <c:minorTickMark val="none"/>
        <c:tickLblPos val="nextTo"/>
        <c:spPr>
          <a:ln>
            <a:noFill/>
          </a:ln>
        </c:spPr>
        <c:crossAx val="327558272"/>
        <c:crosses val="autoZero"/>
        <c:auto val="1"/>
        <c:lblAlgn val="ctr"/>
        <c:lblOffset val="100"/>
        <c:noMultiLvlLbl val="0"/>
      </c:catAx>
      <c:valAx>
        <c:axId val="327558272"/>
        <c:scaling>
          <c:orientation val="minMax"/>
        </c:scaling>
        <c:delete val="0"/>
        <c:axPos val="l"/>
        <c:numFmt formatCode="#,##0.0" sourceLinked="1"/>
        <c:majorTickMark val="out"/>
        <c:minorTickMark val="none"/>
        <c:tickLblPos val="none"/>
        <c:spPr>
          <a:ln>
            <a:noFill/>
          </a:ln>
        </c:spPr>
        <c:crossAx val="327552384"/>
        <c:crosses val="autoZero"/>
        <c:crossBetween val="between"/>
      </c:valAx>
    </c:plotArea>
    <c:plotVisOnly val="1"/>
    <c:dispBlanksAs val="gap"/>
    <c:showDLblsOverMax val="0"/>
  </c:chart>
  <c:spPr>
    <a:ln>
      <a:noFill/>
    </a:ln>
  </c:spPr>
  <c:txPr>
    <a:bodyPr/>
    <a:lstStyle/>
    <a:p>
      <a:pPr>
        <a:defRPr sz="1100" baseline="0">
          <a:solidFill>
            <a:sysClr val="windowText" lastClr="000000"/>
          </a:solidFill>
          <a:latin typeface="+mn-lt"/>
        </a:defRPr>
      </a:pPr>
      <a:endParaRPr lang="de-DE"/>
    </a:p>
  </c:txPr>
  <c:printSettings>
    <c:headerFooter/>
    <c:pageMargins b="0.78740157499999996" l="0.7" r="0.7" t="0.78740157499999996"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4784361144701E-2"/>
          <c:y val="0.12311722331368696"/>
          <c:w val="0.96453043127771065"/>
          <c:h val="0.75309520494614013"/>
        </c:manualLayout>
      </c:layout>
      <c:barChart>
        <c:barDir val="col"/>
        <c:grouping val="clustered"/>
        <c:varyColors val="0"/>
        <c:ser>
          <c:idx val="0"/>
          <c:order val="0"/>
          <c:tx>
            <c:strRef>
              <c:f>uebb_Widera!$E$6</c:f>
              <c:strCache>
                <c:ptCount val="1"/>
                <c:pt idx="0">
                  <c:v>Beteiligungen</c:v>
                </c:pt>
              </c:strCache>
            </c:strRef>
          </c:tx>
          <c:spPr>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uebb_Widera!$D$7:$D$8</c:f>
              <c:strCache>
                <c:ptCount val="2"/>
                <c:pt idx="0">
                  <c:v>Widening participation and spreading excellence</c:v>
                </c:pt>
                <c:pt idx="1">
                  <c:v>Reforming and enhancing the European R&amp;I System</c:v>
                </c:pt>
              </c:strCache>
            </c:strRef>
          </c:cat>
          <c:val>
            <c:numRef>
              <c:f>uebb_Widera!$E$7:$E$8</c:f>
              <c:numCache>
                <c:formatCode>0.0%</c:formatCode>
                <c:ptCount val="2"/>
                <c:pt idx="0">
                  <c:v>2.0148791072535647E-2</c:v>
                </c:pt>
                <c:pt idx="1">
                  <c:v>2.7709359605911331E-2</c:v>
                </c:pt>
              </c:numCache>
            </c:numRef>
          </c:val>
          <c:extLst>
            <c:ext xmlns:c16="http://schemas.microsoft.com/office/drawing/2014/chart" uri="{C3380CC4-5D6E-409C-BE32-E72D297353CC}">
              <c16:uniqueId val="{00000000-666E-49F8-8527-319AB6134D1D}"/>
            </c:ext>
          </c:extLst>
        </c:ser>
        <c:ser>
          <c:idx val="1"/>
          <c:order val="1"/>
          <c:tx>
            <c:strRef>
              <c:f>uebb_Widera!$F$6</c:f>
              <c:strCache>
                <c:ptCount val="1"/>
                <c:pt idx="0">
                  <c:v>Förderungen</c:v>
                </c:pt>
              </c:strCache>
            </c:strRef>
          </c:tx>
          <c:spPr>
            <a:solidFill>
              <a:schemeClr val="accent2"/>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uebb_Widera!$D$7:$D$8</c:f>
              <c:strCache>
                <c:ptCount val="2"/>
                <c:pt idx="0">
                  <c:v>Widening participation and spreading excellence</c:v>
                </c:pt>
                <c:pt idx="1">
                  <c:v>Reforming and enhancing the European R&amp;I System</c:v>
                </c:pt>
              </c:strCache>
            </c:strRef>
          </c:cat>
          <c:val>
            <c:numRef>
              <c:f>uebb_Widera!$F$7:$F$8</c:f>
              <c:numCache>
                <c:formatCode>0.0%</c:formatCode>
                <c:ptCount val="2"/>
                <c:pt idx="0">
                  <c:v>8.4124350797668244E-3</c:v>
                </c:pt>
                <c:pt idx="1">
                  <c:v>4.602640237269149E-2</c:v>
                </c:pt>
              </c:numCache>
            </c:numRef>
          </c:val>
          <c:extLst>
            <c:ext xmlns:c16="http://schemas.microsoft.com/office/drawing/2014/chart" uri="{C3380CC4-5D6E-409C-BE32-E72D297353CC}">
              <c16:uniqueId val="{00000001-666E-49F8-8527-319AB6134D1D}"/>
            </c:ext>
          </c:extLst>
        </c:ser>
        <c:ser>
          <c:idx val="2"/>
          <c:order val="2"/>
          <c:tx>
            <c:strRef>
              <c:f>uebb_Widera!$G$6</c:f>
              <c:strCache>
                <c:ptCount val="1"/>
                <c:pt idx="0">
                  <c:v>Koordinationen</c:v>
                </c:pt>
              </c:strCache>
            </c:strRef>
          </c:tx>
          <c:spPr>
            <a:solidFill>
              <a:schemeClr val="accent3"/>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uebb_Widera!$D$7:$D$8</c:f>
              <c:strCache>
                <c:ptCount val="2"/>
                <c:pt idx="0">
                  <c:v>Widening participation and spreading excellence</c:v>
                </c:pt>
                <c:pt idx="1">
                  <c:v>Reforming and enhancing the European R&amp;I System</c:v>
                </c:pt>
              </c:strCache>
            </c:strRef>
          </c:cat>
          <c:val>
            <c:numRef>
              <c:f>uebb_Widera!$G$7:$G$8</c:f>
              <c:numCache>
                <c:formatCode>0.0%</c:formatCode>
                <c:ptCount val="2"/>
                <c:pt idx="0">
                  <c:v>1.4301430143014302E-2</c:v>
                </c:pt>
                <c:pt idx="1">
                  <c:v>3.4482758620689655E-2</c:v>
                </c:pt>
              </c:numCache>
            </c:numRef>
          </c:val>
          <c:extLst>
            <c:ext xmlns:c16="http://schemas.microsoft.com/office/drawing/2014/chart" uri="{C3380CC4-5D6E-409C-BE32-E72D297353CC}">
              <c16:uniqueId val="{00000002-666E-49F8-8527-319AB6134D1D}"/>
            </c:ext>
          </c:extLst>
        </c:ser>
        <c:dLbls>
          <c:showLegendKey val="0"/>
          <c:showVal val="0"/>
          <c:showCatName val="0"/>
          <c:showSerName val="0"/>
          <c:showPercent val="0"/>
          <c:showBubbleSize val="0"/>
        </c:dLbls>
        <c:gapWidth val="117"/>
        <c:axId val="327522176"/>
        <c:axId val="327523712"/>
      </c:barChart>
      <c:catAx>
        <c:axId val="327522176"/>
        <c:scaling>
          <c:orientation val="minMax"/>
        </c:scaling>
        <c:delete val="0"/>
        <c:axPos val="b"/>
        <c:numFmt formatCode="General" sourceLinked="0"/>
        <c:majorTickMark val="none"/>
        <c:minorTickMark val="none"/>
        <c:tickLblPos val="nextTo"/>
        <c:spPr>
          <a:ln>
            <a:noFill/>
          </a:ln>
        </c:spPr>
        <c:txPr>
          <a:bodyPr/>
          <a:lstStyle/>
          <a:p>
            <a:pPr>
              <a:defRPr sz="1100"/>
            </a:pPr>
            <a:endParaRPr lang="de-DE"/>
          </a:p>
        </c:txPr>
        <c:crossAx val="327523712"/>
        <c:crosses val="autoZero"/>
        <c:auto val="1"/>
        <c:lblAlgn val="ctr"/>
        <c:lblOffset val="100"/>
        <c:noMultiLvlLbl val="0"/>
      </c:catAx>
      <c:valAx>
        <c:axId val="327523712"/>
        <c:scaling>
          <c:orientation val="minMax"/>
        </c:scaling>
        <c:delete val="1"/>
        <c:axPos val="l"/>
        <c:numFmt formatCode="0.0%" sourceLinked="1"/>
        <c:majorTickMark val="out"/>
        <c:minorTickMark val="none"/>
        <c:tickLblPos val="nextTo"/>
        <c:crossAx val="327522176"/>
        <c:crosses val="autoZero"/>
        <c:crossBetween val="between"/>
        <c:majorUnit val="1.0000000000000002E-2"/>
      </c:valAx>
    </c:plotArea>
    <c:legend>
      <c:legendPos val="b"/>
      <c:layout>
        <c:manualLayout>
          <c:xMode val="edge"/>
          <c:yMode val="edge"/>
          <c:x val="0.27226308924201886"/>
          <c:y val="5.9726188450412242E-2"/>
          <c:w val="0.45708594769063782"/>
          <c:h val="4.1780032898638159E-2"/>
        </c:manualLayout>
      </c:layout>
      <c:overlay val="0"/>
      <c:spPr>
        <a:ln>
          <a:noFill/>
        </a:ln>
      </c:spPr>
      <c:txPr>
        <a:bodyPr/>
        <a:lstStyle/>
        <a:p>
          <a:pPr>
            <a:defRPr sz="1200"/>
          </a:pPr>
          <a:endParaRPr lang="de-DE"/>
        </a:p>
      </c:txPr>
    </c:legend>
    <c:plotVisOnly val="1"/>
    <c:dispBlanksAs val="gap"/>
    <c:showDLblsOverMax val="0"/>
  </c:chart>
  <c:spPr>
    <a:ln>
      <a:noFill/>
    </a:ln>
  </c:spPr>
  <c:txPr>
    <a:bodyPr/>
    <a:lstStyle/>
    <a:p>
      <a:pPr>
        <a:defRPr sz="9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6496C8"/>
            </a:solidFill>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uebb_Widera!$D$26:$D$27</c:f>
              <c:strCache>
                <c:ptCount val="2"/>
                <c:pt idx="0">
                  <c:v>Widening participation and spreading excellence</c:v>
                </c:pt>
                <c:pt idx="1">
                  <c:v>Reforming and enhancing the European R&amp;I System</c:v>
                </c:pt>
              </c:strCache>
            </c:strRef>
          </c:cat>
          <c:val>
            <c:numRef>
              <c:f>uebb_Widera!$E$26:$E$27</c:f>
              <c:numCache>
                <c:formatCode>#,##0.0</c:formatCode>
                <c:ptCount val="2"/>
                <c:pt idx="0">
                  <c:v>1602.97353051</c:v>
                </c:pt>
                <c:pt idx="1">
                  <c:v>286.15983980999999</c:v>
                </c:pt>
              </c:numCache>
            </c:numRef>
          </c:val>
          <c:extLst>
            <c:ext xmlns:c16="http://schemas.microsoft.com/office/drawing/2014/chart" uri="{C3380CC4-5D6E-409C-BE32-E72D297353CC}">
              <c16:uniqueId val="{00000000-975A-4041-83B5-61A256ACD3FC}"/>
            </c:ext>
          </c:extLst>
        </c:ser>
        <c:dLbls>
          <c:showLegendKey val="0"/>
          <c:showVal val="0"/>
          <c:showCatName val="0"/>
          <c:showSerName val="0"/>
          <c:showPercent val="0"/>
          <c:showBubbleSize val="0"/>
        </c:dLbls>
        <c:gapWidth val="150"/>
        <c:axId val="327552384"/>
        <c:axId val="327558272"/>
      </c:barChart>
      <c:catAx>
        <c:axId val="327552384"/>
        <c:scaling>
          <c:orientation val="minMax"/>
        </c:scaling>
        <c:delete val="0"/>
        <c:axPos val="b"/>
        <c:numFmt formatCode="General" sourceLinked="0"/>
        <c:majorTickMark val="out"/>
        <c:minorTickMark val="none"/>
        <c:tickLblPos val="nextTo"/>
        <c:spPr>
          <a:ln>
            <a:noFill/>
          </a:ln>
        </c:spPr>
        <c:crossAx val="327558272"/>
        <c:crosses val="autoZero"/>
        <c:auto val="1"/>
        <c:lblAlgn val="ctr"/>
        <c:lblOffset val="100"/>
        <c:noMultiLvlLbl val="0"/>
      </c:catAx>
      <c:valAx>
        <c:axId val="327558272"/>
        <c:scaling>
          <c:orientation val="minMax"/>
          <c:min val="0"/>
        </c:scaling>
        <c:delete val="0"/>
        <c:axPos val="l"/>
        <c:numFmt formatCode="#,##0.0" sourceLinked="1"/>
        <c:majorTickMark val="out"/>
        <c:minorTickMark val="none"/>
        <c:tickLblPos val="none"/>
        <c:spPr>
          <a:ln>
            <a:noFill/>
          </a:ln>
        </c:spPr>
        <c:crossAx val="327552384"/>
        <c:crosses val="autoZero"/>
        <c:crossBetween val="between"/>
      </c:valAx>
    </c:plotArea>
    <c:plotVisOnly val="1"/>
    <c:dispBlanksAs val="gap"/>
    <c:showDLblsOverMax val="0"/>
  </c:chart>
  <c:spPr>
    <a:ln>
      <a:noFill/>
    </a:ln>
  </c:spPr>
  <c:txPr>
    <a:bodyPr/>
    <a:lstStyle/>
    <a:p>
      <a:pPr>
        <a:defRPr sz="11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22112286984537E-2"/>
          <c:y val="4.0724504655524678E-2"/>
          <c:w val="0.70654676284544271"/>
          <c:h val="0.867384986676633"/>
        </c:manualLayout>
      </c:layout>
      <c:barChart>
        <c:barDir val="col"/>
        <c:grouping val="percentStacked"/>
        <c:varyColors val="0"/>
        <c:ser>
          <c:idx val="0"/>
          <c:order val="0"/>
          <c:tx>
            <c:strRef>
              <c:f>uebb015_Bet_AT_Orgtypen!$D$9</c:f>
              <c:strCache>
                <c:ptCount val="1"/>
                <c:pt idx="0">
                  <c:v>Hochschule</c:v>
                </c:pt>
              </c:strCache>
            </c:strRef>
          </c:tx>
          <c:spPr>
            <a:ln>
              <a:solidFill>
                <a:schemeClr val="bg1"/>
              </a:solidFill>
            </a:ln>
          </c:spPr>
          <c:invertIfNegative val="0"/>
          <c:dLbls>
            <c:numFmt formatCode="#,##0" sourceLinked="0"/>
            <c:spPr>
              <a:noFill/>
              <a:ln>
                <a:noFill/>
              </a:ln>
              <a:effectLst/>
            </c:spPr>
            <c:txPr>
              <a:bodyPr/>
              <a:lstStyle/>
              <a:p>
                <a:pPr>
                  <a:defRPr sz="12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uebb015_Bet_AT_Orgtypen!$E$7:$F$7</c:f>
              <c:strCache>
                <c:ptCount val="2"/>
                <c:pt idx="0">
                  <c:v>Beteiligungen gesamt 3.919</c:v>
                </c:pt>
                <c:pt idx="1">
                  <c:v>Förderung gesamt 1.856.201.567 €</c:v>
                </c:pt>
              </c:strCache>
            </c:strRef>
          </c:cat>
          <c:val>
            <c:numRef>
              <c:f>uebb015_Bet_AT_Orgtypen!$E$9:$F$9</c:f>
              <c:numCache>
                <c:formatCode>#,##0</c:formatCode>
                <c:ptCount val="2"/>
                <c:pt idx="0">
                  <c:v>1365</c:v>
                </c:pt>
                <c:pt idx="1">
                  <c:v>775150030.02999997</c:v>
                </c:pt>
              </c:numCache>
            </c:numRef>
          </c:val>
          <c:extLst>
            <c:ext xmlns:c16="http://schemas.microsoft.com/office/drawing/2014/chart" uri="{C3380CC4-5D6E-409C-BE32-E72D297353CC}">
              <c16:uniqueId val="{00000000-5EC5-42C7-BE9A-ED337A8A5CE9}"/>
            </c:ext>
          </c:extLst>
        </c:ser>
        <c:ser>
          <c:idx val="1"/>
          <c:order val="1"/>
          <c:tx>
            <c:strRef>
              <c:f>uebb015_Bet_AT_Orgtypen!$D$10</c:f>
              <c:strCache>
                <c:ptCount val="1"/>
                <c:pt idx="0">
                  <c:v>Unternehmen</c:v>
                </c:pt>
              </c:strCache>
            </c:strRef>
          </c:tx>
          <c:spPr>
            <a:ln>
              <a:solidFill>
                <a:schemeClr val="bg1"/>
              </a:solidFill>
            </a:ln>
          </c:spPr>
          <c:invertIfNegative val="0"/>
          <c:dLbls>
            <c:numFmt formatCode="#,##0" sourceLinked="0"/>
            <c:spPr>
              <a:noFill/>
              <a:ln>
                <a:noFill/>
              </a:ln>
              <a:effectLst/>
            </c:spPr>
            <c:txPr>
              <a:bodyPr/>
              <a:lstStyle/>
              <a:p>
                <a:pPr>
                  <a:defRPr sz="12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uebb015_Bet_AT_Orgtypen!$E$7:$F$7</c:f>
              <c:strCache>
                <c:ptCount val="2"/>
                <c:pt idx="0">
                  <c:v>Beteiligungen gesamt 3.919</c:v>
                </c:pt>
                <c:pt idx="1">
                  <c:v>Förderung gesamt 1.856.201.567 €</c:v>
                </c:pt>
              </c:strCache>
            </c:strRef>
          </c:cat>
          <c:val>
            <c:numRef>
              <c:f>uebb015_Bet_AT_Orgtypen!$E$10:$F$10</c:f>
              <c:numCache>
                <c:formatCode>#,##0</c:formatCode>
                <c:ptCount val="2"/>
                <c:pt idx="0">
                  <c:v>1138</c:v>
                </c:pt>
                <c:pt idx="1">
                  <c:v>399175121.76999998</c:v>
                </c:pt>
              </c:numCache>
            </c:numRef>
          </c:val>
          <c:extLst>
            <c:ext xmlns:c16="http://schemas.microsoft.com/office/drawing/2014/chart" uri="{C3380CC4-5D6E-409C-BE32-E72D297353CC}">
              <c16:uniqueId val="{00000001-5EC5-42C7-BE9A-ED337A8A5CE9}"/>
            </c:ext>
          </c:extLst>
        </c:ser>
        <c:ser>
          <c:idx val="2"/>
          <c:order val="2"/>
          <c:tx>
            <c:strRef>
              <c:f>uebb015_Bet_AT_Orgtypen!$D$11</c:f>
              <c:strCache>
                <c:ptCount val="1"/>
                <c:pt idx="0">
                  <c:v>Auniv.Forschung</c:v>
                </c:pt>
              </c:strCache>
            </c:strRef>
          </c:tx>
          <c:spPr>
            <a:ln>
              <a:solidFill>
                <a:schemeClr val="bg1"/>
              </a:solidFill>
            </a:ln>
          </c:spPr>
          <c:invertIfNegative val="0"/>
          <c:dLbls>
            <c:numFmt formatCode="#,##0" sourceLinked="0"/>
            <c:spPr>
              <a:noFill/>
              <a:ln>
                <a:noFill/>
              </a:ln>
              <a:effectLst/>
            </c:spPr>
            <c:txPr>
              <a:bodyPr/>
              <a:lstStyle/>
              <a:p>
                <a:pPr>
                  <a:defRPr sz="12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uebb015_Bet_AT_Orgtypen!$E$7:$F$7</c:f>
              <c:strCache>
                <c:ptCount val="2"/>
                <c:pt idx="0">
                  <c:v>Beteiligungen gesamt 3.919</c:v>
                </c:pt>
                <c:pt idx="1">
                  <c:v>Förderung gesamt 1.856.201.567 €</c:v>
                </c:pt>
              </c:strCache>
            </c:strRef>
          </c:cat>
          <c:val>
            <c:numRef>
              <c:f>uebb015_Bet_AT_Orgtypen!$E$11:$F$11</c:f>
              <c:numCache>
                <c:formatCode>#,##0</c:formatCode>
                <c:ptCount val="2"/>
                <c:pt idx="0">
                  <c:v>1041</c:v>
                </c:pt>
                <c:pt idx="1">
                  <c:v>526767257.48000002</c:v>
                </c:pt>
              </c:numCache>
            </c:numRef>
          </c:val>
          <c:extLst>
            <c:ext xmlns:c16="http://schemas.microsoft.com/office/drawing/2014/chart" uri="{C3380CC4-5D6E-409C-BE32-E72D297353CC}">
              <c16:uniqueId val="{00000002-5EC5-42C7-BE9A-ED337A8A5CE9}"/>
            </c:ext>
          </c:extLst>
        </c:ser>
        <c:ser>
          <c:idx val="3"/>
          <c:order val="3"/>
          <c:tx>
            <c:strRef>
              <c:f>uebb015_Bet_AT_Orgtypen!$D$12</c:f>
              <c:strCache>
                <c:ptCount val="1"/>
                <c:pt idx="0">
                  <c:v>Öff.Institution</c:v>
                </c:pt>
              </c:strCache>
            </c:strRef>
          </c:tx>
          <c:spPr>
            <a:ln>
              <a:solidFill>
                <a:schemeClr val="bg1"/>
              </a:solidFill>
            </a:ln>
          </c:spPr>
          <c:invertIfNegative val="0"/>
          <c:cat>
            <c:strRef>
              <c:f>uebb015_Bet_AT_Orgtypen!$E$7:$F$7</c:f>
              <c:strCache>
                <c:ptCount val="2"/>
                <c:pt idx="0">
                  <c:v>Beteiligungen gesamt 3.919</c:v>
                </c:pt>
                <c:pt idx="1">
                  <c:v>Förderung gesamt 1.856.201.567 €</c:v>
                </c:pt>
              </c:strCache>
            </c:strRef>
          </c:cat>
          <c:val>
            <c:numRef>
              <c:f>uebb015_Bet_AT_Orgtypen!$E$12:$F$12</c:f>
              <c:numCache>
                <c:formatCode>#,##0</c:formatCode>
                <c:ptCount val="2"/>
                <c:pt idx="0">
                  <c:v>122</c:v>
                </c:pt>
                <c:pt idx="1">
                  <c:v>46747749.289999999</c:v>
                </c:pt>
              </c:numCache>
            </c:numRef>
          </c:val>
          <c:extLst>
            <c:ext xmlns:c16="http://schemas.microsoft.com/office/drawing/2014/chart" uri="{C3380CC4-5D6E-409C-BE32-E72D297353CC}">
              <c16:uniqueId val="{00000003-5EC5-42C7-BE9A-ED337A8A5CE9}"/>
            </c:ext>
          </c:extLst>
        </c:ser>
        <c:ser>
          <c:idx val="4"/>
          <c:order val="4"/>
          <c:tx>
            <c:strRef>
              <c:f>uebb015_Bet_AT_Orgtypen!$D$13</c:f>
              <c:strCache>
                <c:ptCount val="1"/>
                <c:pt idx="0">
                  <c:v>Sonstige</c:v>
                </c:pt>
              </c:strCache>
            </c:strRef>
          </c:tx>
          <c:spPr>
            <a:ln>
              <a:solidFill>
                <a:schemeClr val="bg1"/>
              </a:solidFill>
            </a:ln>
          </c:spPr>
          <c:invertIfNegative val="0"/>
          <c:cat>
            <c:strRef>
              <c:f>uebb015_Bet_AT_Orgtypen!$E$7:$F$7</c:f>
              <c:strCache>
                <c:ptCount val="2"/>
                <c:pt idx="0">
                  <c:v>Beteiligungen gesamt 3.919</c:v>
                </c:pt>
                <c:pt idx="1">
                  <c:v>Förderung gesamt 1.856.201.567 €</c:v>
                </c:pt>
              </c:strCache>
            </c:strRef>
          </c:cat>
          <c:val>
            <c:numRef>
              <c:f>uebb015_Bet_AT_Orgtypen!$E$13:$F$13</c:f>
              <c:numCache>
                <c:formatCode>#,##0</c:formatCode>
                <c:ptCount val="2"/>
                <c:pt idx="0">
                  <c:v>253</c:v>
                </c:pt>
                <c:pt idx="1">
                  <c:v>108361408.88</c:v>
                </c:pt>
              </c:numCache>
            </c:numRef>
          </c:val>
          <c:extLst>
            <c:ext xmlns:c16="http://schemas.microsoft.com/office/drawing/2014/chart" uri="{C3380CC4-5D6E-409C-BE32-E72D297353CC}">
              <c16:uniqueId val="{00000004-5EC5-42C7-BE9A-ED337A8A5CE9}"/>
            </c:ext>
          </c:extLst>
        </c:ser>
        <c:dLbls>
          <c:showLegendKey val="0"/>
          <c:showVal val="0"/>
          <c:showCatName val="0"/>
          <c:showSerName val="0"/>
          <c:showPercent val="0"/>
          <c:showBubbleSize val="0"/>
        </c:dLbls>
        <c:gapWidth val="0"/>
        <c:overlap val="100"/>
        <c:axId val="331083776"/>
        <c:axId val="331085312"/>
      </c:barChart>
      <c:catAx>
        <c:axId val="331083776"/>
        <c:scaling>
          <c:orientation val="minMax"/>
        </c:scaling>
        <c:delete val="0"/>
        <c:axPos val="b"/>
        <c:numFmt formatCode="General" sourceLinked="0"/>
        <c:majorTickMark val="none"/>
        <c:minorTickMark val="none"/>
        <c:tickLblPos val="nextTo"/>
        <c:spPr>
          <a:ln>
            <a:noFill/>
          </a:ln>
        </c:spPr>
        <c:txPr>
          <a:bodyPr/>
          <a:lstStyle/>
          <a:p>
            <a:pPr>
              <a:defRPr sz="1200">
                <a:solidFill>
                  <a:sysClr val="windowText" lastClr="000000"/>
                </a:solidFill>
                <a:latin typeface="+mn-lt"/>
              </a:defRPr>
            </a:pPr>
            <a:endParaRPr lang="de-DE"/>
          </a:p>
        </c:txPr>
        <c:crossAx val="331085312"/>
        <c:crosses val="autoZero"/>
        <c:auto val="1"/>
        <c:lblAlgn val="ctr"/>
        <c:lblOffset val="100"/>
        <c:noMultiLvlLbl val="0"/>
      </c:catAx>
      <c:valAx>
        <c:axId val="331085312"/>
        <c:scaling>
          <c:orientation val="minMax"/>
        </c:scaling>
        <c:delete val="0"/>
        <c:axPos val="l"/>
        <c:numFmt formatCode="0%" sourceLinked="1"/>
        <c:majorTickMark val="none"/>
        <c:minorTickMark val="none"/>
        <c:tickLblPos val="nextTo"/>
        <c:spPr>
          <a:ln>
            <a:noFill/>
          </a:ln>
        </c:spPr>
        <c:txPr>
          <a:bodyPr/>
          <a:lstStyle/>
          <a:p>
            <a:pPr>
              <a:defRPr sz="1050">
                <a:latin typeface="+mn-lt"/>
              </a:defRPr>
            </a:pPr>
            <a:endParaRPr lang="de-DE"/>
          </a:p>
        </c:txPr>
        <c:crossAx val="331083776"/>
        <c:crosses val="autoZero"/>
        <c:crossBetween val="between"/>
      </c:valAx>
    </c:plotArea>
    <c:legend>
      <c:legendPos val="r"/>
      <c:legendEntry>
        <c:idx val="2"/>
        <c:delete val="1"/>
      </c:legendEntry>
      <c:legendEntry>
        <c:idx val="3"/>
        <c:delete val="1"/>
      </c:legendEntry>
      <c:legendEntry>
        <c:idx val="4"/>
        <c:delete val="1"/>
      </c:legendEntry>
      <c:layout>
        <c:manualLayout>
          <c:xMode val="edge"/>
          <c:yMode val="edge"/>
          <c:x val="0.78923110253978734"/>
          <c:y val="3.3398241303997475E-2"/>
          <c:w val="0.14448933679208467"/>
          <c:h val="0.13265775900561991"/>
        </c:manualLayout>
      </c:layout>
      <c:overlay val="0"/>
      <c:txPr>
        <a:bodyPr/>
        <a:lstStyle/>
        <a:p>
          <a:pPr>
            <a:defRPr sz="1200">
              <a:solidFill>
                <a:sysClr val="windowText" lastClr="000000"/>
              </a:solidFill>
              <a:latin typeface="+mn-lt"/>
            </a:defRPr>
          </a:pPr>
          <a:endParaRPr lang="de-DE"/>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00132803895307"/>
          <c:y val="0.22717952006418304"/>
          <c:w val="0.84209065634864155"/>
          <c:h val="0.71519124966430725"/>
        </c:manualLayout>
      </c:layout>
      <c:barChart>
        <c:barDir val="bar"/>
        <c:grouping val="percentStacked"/>
        <c:varyColors val="0"/>
        <c:ser>
          <c:idx val="0"/>
          <c:order val="0"/>
          <c:tx>
            <c:strRef>
              <c:f>uebb015_Bet_AT_Orgtypen!$D$32</c:f>
              <c:strCache>
                <c:ptCount val="1"/>
                <c:pt idx="0">
                  <c:v>Hochschule</c:v>
                </c:pt>
              </c:strCache>
            </c:strRef>
          </c:tx>
          <c:spPr>
            <a:ln>
              <a:solidFill>
                <a:schemeClr val="bg1"/>
              </a:solidFill>
            </a:ln>
          </c:spPr>
          <c:invertIfNegative val="0"/>
          <c:dLbls>
            <c:spPr>
              <a:noFill/>
              <a:ln>
                <a:noFill/>
              </a:ln>
              <a:effectLst/>
            </c:spPr>
            <c:txPr>
              <a:bodyPr/>
              <a:lstStyle/>
              <a:p>
                <a:pPr>
                  <a:defRPr sz="12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(uebb015_Bet_AT_Orgtypen!$C$33:$C$35,uebb015_Bet_AT_Orgtypen!$C$42:$C$44)</c:f>
              <c:strCache>
                <c:ptCount val="6"/>
                <c:pt idx="0">
                  <c:v>EU-27</c:v>
                </c:pt>
                <c:pt idx="1">
                  <c:v>Österreich</c:v>
                </c:pt>
                <c:pt idx="3">
                  <c:v>Horizon Europe</c:v>
                </c:pt>
                <c:pt idx="4">
                  <c:v>H2020</c:v>
                </c:pt>
                <c:pt idx="5">
                  <c:v>FP7</c:v>
                </c:pt>
              </c:strCache>
            </c:strRef>
          </c:cat>
          <c:val>
            <c:numRef>
              <c:f>(uebb015_Bet_AT_Orgtypen!$D$33:$D$35,uebb015_Bet_AT_Orgtypen!$D$42:$D$44)</c:f>
              <c:numCache>
                <c:formatCode>0%</c:formatCode>
                <c:ptCount val="6"/>
                <c:pt idx="0">
                  <c:v>0.32345082634391475</c:v>
                </c:pt>
                <c:pt idx="1">
                  <c:v>0.34830313855575401</c:v>
                </c:pt>
                <c:pt idx="3">
                  <c:v>0.34830313855575401</c:v>
                </c:pt>
                <c:pt idx="4">
                  <c:v>0.2929740134744947</c:v>
                </c:pt>
                <c:pt idx="5">
                  <c:v>0.36513610118229312</c:v>
                </c:pt>
              </c:numCache>
            </c:numRef>
          </c:val>
          <c:extLst>
            <c:ext xmlns:c16="http://schemas.microsoft.com/office/drawing/2014/chart" uri="{C3380CC4-5D6E-409C-BE32-E72D297353CC}">
              <c16:uniqueId val="{00000000-5DFF-4F7D-89D2-C07A70DA765E}"/>
            </c:ext>
          </c:extLst>
        </c:ser>
        <c:ser>
          <c:idx val="1"/>
          <c:order val="1"/>
          <c:tx>
            <c:strRef>
              <c:f>uebb015_Bet_AT_Orgtypen!$E$32</c:f>
              <c:strCache>
                <c:ptCount val="1"/>
                <c:pt idx="0">
                  <c:v>Unternehmen</c:v>
                </c:pt>
              </c:strCache>
            </c:strRef>
          </c:tx>
          <c:spPr>
            <a:ln>
              <a:solidFill>
                <a:schemeClr val="bg1"/>
              </a:solidFill>
            </a:ln>
          </c:spPr>
          <c:invertIfNegative val="0"/>
          <c:dLbls>
            <c:spPr>
              <a:noFill/>
              <a:ln>
                <a:noFill/>
              </a:ln>
              <a:effectLst/>
            </c:spPr>
            <c:txPr>
              <a:bodyPr/>
              <a:lstStyle/>
              <a:p>
                <a:pPr>
                  <a:defRPr sz="12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(uebb015_Bet_AT_Orgtypen!$C$33:$C$35,uebb015_Bet_AT_Orgtypen!$C$42:$C$44)</c:f>
              <c:strCache>
                <c:ptCount val="6"/>
                <c:pt idx="0">
                  <c:v>EU-27</c:v>
                </c:pt>
                <c:pt idx="1">
                  <c:v>Österreich</c:v>
                </c:pt>
                <c:pt idx="3">
                  <c:v>Horizon Europe</c:v>
                </c:pt>
                <c:pt idx="4">
                  <c:v>H2020</c:v>
                </c:pt>
                <c:pt idx="5">
                  <c:v>FP7</c:v>
                </c:pt>
              </c:strCache>
            </c:strRef>
          </c:cat>
          <c:val>
            <c:numRef>
              <c:f>(uebb015_Bet_AT_Orgtypen!$E$33:$E$35,uebb015_Bet_AT_Orgtypen!$E$42:$E$44)</c:f>
              <c:numCache>
                <c:formatCode>0%</c:formatCode>
                <c:ptCount val="6"/>
                <c:pt idx="0">
                  <c:v>0.30848993169834021</c:v>
                </c:pt>
                <c:pt idx="1">
                  <c:v>0.29038019903036488</c:v>
                </c:pt>
                <c:pt idx="3">
                  <c:v>0.29038019903036488</c:v>
                </c:pt>
                <c:pt idx="4">
                  <c:v>0.35957651588065448</c:v>
                </c:pt>
                <c:pt idx="5">
                  <c:v>0.31701952158372287</c:v>
                </c:pt>
              </c:numCache>
            </c:numRef>
          </c:val>
          <c:extLst>
            <c:ext xmlns:c16="http://schemas.microsoft.com/office/drawing/2014/chart" uri="{C3380CC4-5D6E-409C-BE32-E72D297353CC}">
              <c16:uniqueId val="{00000001-5DFF-4F7D-89D2-C07A70DA765E}"/>
            </c:ext>
          </c:extLst>
        </c:ser>
        <c:ser>
          <c:idx val="2"/>
          <c:order val="2"/>
          <c:tx>
            <c:strRef>
              <c:f>uebb015_Bet_AT_Orgtypen!$F$32</c:f>
              <c:strCache>
                <c:ptCount val="1"/>
                <c:pt idx="0">
                  <c:v>Auniv.Forschung</c:v>
                </c:pt>
              </c:strCache>
            </c:strRef>
          </c:tx>
          <c:spPr>
            <a:ln>
              <a:solidFill>
                <a:schemeClr val="bg1"/>
              </a:solidFill>
            </a:ln>
          </c:spPr>
          <c:invertIfNegative val="0"/>
          <c:dLbls>
            <c:spPr>
              <a:noFill/>
              <a:ln>
                <a:noFill/>
              </a:ln>
              <a:effectLst/>
            </c:spPr>
            <c:txPr>
              <a:bodyPr/>
              <a:lstStyle/>
              <a:p>
                <a:pPr>
                  <a:defRPr sz="12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(uebb015_Bet_AT_Orgtypen!$C$33:$C$35,uebb015_Bet_AT_Orgtypen!$C$42:$C$44)</c:f>
              <c:strCache>
                <c:ptCount val="6"/>
                <c:pt idx="0">
                  <c:v>EU-27</c:v>
                </c:pt>
                <c:pt idx="1">
                  <c:v>Österreich</c:v>
                </c:pt>
                <c:pt idx="3">
                  <c:v>Horizon Europe</c:v>
                </c:pt>
                <c:pt idx="4">
                  <c:v>H2020</c:v>
                </c:pt>
                <c:pt idx="5">
                  <c:v>FP7</c:v>
                </c:pt>
              </c:strCache>
            </c:strRef>
          </c:cat>
          <c:val>
            <c:numRef>
              <c:f>(uebb015_Bet_AT_Orgtypen!$F$33:$F$35,uebb015_Bet_AT_Orgtypen!$F$42:$F$44)</c:f>
              <c:numCache>
                <c:formatCode>0%</c:formatCode>
                <c:ptCount val="6"/>
                <c:pt idx="0">
                  <c:v>0.2354106946951198</c:v>
                </c:pt>
                <c:pt idx="1">
                  <c:v>0.26562898698647613</c:v>
                </c:pt>
                <c:pt idx="3">
                  <c:v>0.26562898698647613</c:v>
                </c:pt>
                <c:pt idx="4">
                  <c:v>0.23965351299326276</c:v>
                </c:pt>
                <c:pt idx="5">
                  <c:v>0.24663183942810007</c:v>
                </c:pt>
              </c:numCache>
            </c:numRef>
          </c:val>
          <c:extLst>
            <c:ext xmlns:c16="http://schemas.microsoft.com/office/drawing/2014/chart" uri="{C3380CC4-5D6E-409C-BE32-E72D297353CC}">
              <c16:uniqueId val="{00000002-5DFF-4F7D-89D2-C07A70DA765E}"/>
            </c:ext>
          </c:extLst>
        </c:ser>
        <c:ser>
          <c:idx val="3"/>
          <c:order val="3"/>
          <c:tx>
            <c:strRef>
              <c:f>uebb015_Bet_AT_Orgtypen!$G$32</c:f>
              <c:strCache>
                <c:ptCount val="1"/>
                <c:pt idx="0">
                  <c:v>Öff.Institution</c:v>
                </c:pt>
              </c:strCache>
            </c:strRef>
          </c:tx>
          <c:spPr>
            <a:ln>
              <a:solidFill>
                <a:schemeClr val="bg1"/>
              </a:solidFill>
            </a:ln>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(uebb015_Bet_AT_Orgtypen!$C$33:$C$35,uebb015_Bet_AT_Orgtypen!$C$42:$C$44)</c:f>
              <c:strCache>
                <c:ptCount val="6"/>
                <c:pt idx="0">
                  <c:v>EU-27</c:v>
                </c:pt>
                <c:pt idx="1">
                  <c:v>Österreich</c:v>
                </c:pt>
                <c:pt idx="3">
                  <c:v>Horizon Europe</c:v>
                </c:pt>
                <c:pt idx="4">
                  <c:v>H2020</c:v>
                </c:pt>
                <c:pt idx="5">
                  <c:v>FP7</c:v>
                </c:pt>
              </c:strCache>
            </c:strRef>
          </c:cat>
          <c:val>
            <c:numRef>
              <c:f>(uebb015_Bet_AT_Orgtypen!$G$33:$G$35,uebb015_Bet_AT_Orgtypen!$G$42:$G$44)</c:f>
              <c:numCache>
                <c:formatCode>0%</c:formatCode>
                <c:ptCount val="6"/>
                <c:pt idx="0">
                  <c:v>5.2756839013341827E-2</c:v>
                </c:pt>
                <c:pt idx="1">
                  <c:v>3.1130390405715743E-2</c:v>
                </c:pt>
                <c:pt idx="3">
                  <c:v>3.1130390405715743E-2</c:v>
                </c:pt>
                <c:pt idx="4">
                  <c:v>3.1376323387872954E-2</c:v>
                </c:pt>
                <c:pt idx="5">
                  <c:v>4.7291723948309043E-2</c:v>
                </c:pt>
              </c:numCache>
            </c:numRef>
          </c:val>
          <c:extLst>
            <c:ext xmlns:c16="http://schemas.microsoft.com/office/drawing/2014/chart" uri="{C3380CC4-5D6E-409C-BE32-E72D297353CC}">
              <c16:uniqueId val="{00000003-5DFF-4F7D-89D2-C07A70DA765E}"/>
            </c:ext>
          </c:extLst>
        </c:ser>
        <c:ser>
          <c:idx val="4"/>
          <c:order val="4"/>
          <c:tx>
            <c:strRef>
              <c:f>uebb015_Bet_AT_Orgtypen!$H$32</c:f>
              <c:strCache>
                <c:ptCount val="1"/>
                <c:pt idx="0">
                  <c:v>Sonstige</c:v>
                </c:pt>
              </c:strCache>
            </c:strRef>
          </c:tx>
          <c:spPr>
            <a:ln>
              <a:solidFill>
                <a:schemeClr val="bg1"/>
              </a:solidFill>
            </a:ln>
          </c:spPr>
          <c:invertIfNegative val="0"/>
          <c:dLbls>
            <c:spPr>
              <a:noFill/>
              <a:ln>
                <a:noFill/>
              </a:ln>
              <a:effectLst/>
            </c:spPr>
            <c:txPr>
              <a:bodyPr wrap="square" lIns="38100" tIns="19050" rIns="38100" bIns="19050" anchor="ctr">
                <a:spAutoFit/>
              </a:bodyPr>
              <a:lstStyle/>
              <a:p>
                <a:pPr>
                  <a:defRPr sz="1200">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(uebb015_Bet_AT_Orgtypen!$C$33:$C$35,uebb015_Bet_AT_Orgtypen!$C$42:$C$44)</c:f>
              <c:strCache>
                <c:ptCount val="6"/>
                <c:pt idx="0">
                  <c:v>EU-27</c:v>
                </c:pt>
                <c:pt idx="1">
                  <c:v>Österreich</c:v>
                </c:pt>
                <c:pt idx="3">
                  <c:v>Horizon Europe</c:v>
                </c:pt>
                <c:pt idx="4">
                  <c:v>H2020</c:v>
                </c:pt>
                <c:pt idx="5">
                  <c:v>FP7</c:v>
                </c:pt>
              </c:strCache>
            </c:strRef>
          </c:cat>
          <c:val>
            <c:numRef>
              <c:f>(uebb015_Bet_AT_Orgtypen!$H$33:$H$35,uebb015_Bet_AT_Orgtypen!$H$42:$H$44)</c:f>
              <c:numCache>
                <c:formatCode>0%</c:formatCode>
                <c:ptCount val="6"/>
                <c:pt idx="0">
                  <c:v>7.9891708249283364E-2</c:v>
                </c:pt>
                <c:pt idx="1">
                  <c:v>6.4557285021689212E-2</c:v>
                </c:pt>
                <c:pt idx="3">
                  <c:v>6.4557285021689212E-2</c:v>
                </c:pt>
                <c:pt idx="4">
                  <c:v>7.6419634263715105E-2</c:v>
                </c:pt>
                <c:pt idx="5">
                  <c:v>2.3920813857574923E-2</c:v>
                </c:pt>
              </c:numCache>
            </c:numRef>
          </c:val>
          <c:extLst>
            <c:ext xmlns:c16="http://schemas.microsoft.com/office/drawing/2014/chart" uri="{C3380CC4-5D6E-409C-BE32-E72D297353CC}">
              <c16:uniqueId val="{00000004-5DFF-4F7D-89D2-C07A70DA765E}"/>
            </c:ext>
          </c:extLst>
        </c:ser>
        <c:dLbls>
          <c:showLegendKey val="0"/>
          <c:showVal val="0"/>
          <c:showCatName val="0"/>
          <c:showSerName val="0"/>
          <c:showPercent val="0"/>
          <c:showBubbleSize val="0"/>
        </c:dLbls>
        <c:gapWidth val="0"/>
        <c:overlap val="100"/>
        <c:axId val="335740928"/>
        <c:axId val="335742464"/>
      </c:barChart>
      <c:catAx>
        <c:axId val="335740928"/>
        <c:scaling>
          <c:orientation val="maxMin"/>
        </c:scaling>
        <c:delete val="0"/>
        <c:axPos val="l"/>
        <c:numFmt formatCode="General" sourceLinked="0"/>
        <c:majorTickMark val="none"/>
        <c:minorTickMark val="none"/>
        <c:tickLblPos val="nextTo"/>
        <c:spPr>
          <a:ln>
            <a:noFill/>
          </a:ln>
        </c:spPr>
        <c:crossAx val="335742464"/>
        <c:crosses val="autoZero"/>
        <c:auto val="1"/>
        <c:lblAlgn val="ctr"/>
        <c:lblOffset val="100"/>
        <c:noMultiLvlLbl val="0"/>
      </c:catAx>
      <c:valAx>
        <c:axId val="335742464"/>
        <c:scaling>
          <c:orientation val="minMax"/>
        </c:scaling>
        <c:delete val="1"/>
        <c:axPos val="t"/>
        <c:numFmt formatCode="0%" sourceLinked="1"/>
        <c:majorTickMark val="out"/>
        <c:minorTickMark val="none"/>
        <c:tickLblPos val="nextTo"/>
        <c:crossAx val="335740928"/>
        <c:crosses val="autoZero"/>
        <c:crossBetween val="between"/>
      </c:valAx>
    </c:plotArea>
    <c:legend>
      <c:legendPos val="t"/>
      <c:layout>
        <c:manualLayout>
          <c:xMode val="edge"/>
          <c:yMode val="edge"/>
          <c:x val="0.17996671185759319"/>
          <c:y val="0.1308435254564819"/>
          <c:w val="0.65634646228882132"/>
          <c:h val="5.2241029589661675E-2"/>
        </c:manualLayout>
      </c:layout>
      <c:overlay val="0"/>
      <c:txPr>
        <a:bodyPr/>
        <a:lstStyle/>
        <a:p>
          <a:pPr>
            <a:defRPr sz="1200"/>
          </a:pPr>
          <a:endParaRPr lang="de-DE"/>
        </a:p>
      </c:txPr>
    </c:legend>
    <c:plotVisOnly val="1"/>
    <c:dispBlanksAs val="gap"/>
    <c:showDLblsOverMax val="0"/>
  </c:chart>
  <c:spPr>
    <a:ln>
      <a:noFill/>
    </a:ln>
  </c:spPr>
  <c:txPr>
    <a:bodyPr/>
    <a:lstStyle/>
    <a:p>
      <a:pPr>
        <a:defRPr sz="11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81692305708244E-2"/>
          <c:y val="3.2786885245901641E-2"/>
          <c:w val="0.96501689743953489"/>
          <c:h val="0.93989071038251371"/>
        </c:manualLayout>
      </c:layout>
      <c:scatterChart>
        <c:scatterStyle val="lineMarker"/>
        <c:varyColors val="0"/>
        <c:ser>
          <c:idx val="0"/>
          <c:order val="0"/>
          <c:spPr>
            <a:ln w="28575">
              <a:noFill/>
            </a:ln>
          </c:spPr>
          <c:marker>
            <c:symbol val="none"/>
          </c:marker>
          <c:dLbls>
            <c:dLbl>
              <c:idx val="0"/>
              <c:layout>
                <c:manualLayout>
                  <c:x val="-2.0950170614619557E-2"/>
                  <c:y val="-3.825136612021858E-2"/>
                </c:manualLayout>
              </c:layout>
              <c:tx>
                <c:strRef>
                  <c:f>uebb038_Landkarte_Bundeslae!$X$5</c:f>
                  <c:strCache>
                    <c:ptCount val="1"/>
                    <c:pt idx="0">
                      <c:v>13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{35EFCD3E-1246-4762-BAB8-FB3C61E592CD}</c15:txfldGUID>
                      <c15:f>uebb038_Landkarte_Bundeslae!$X$5</c15:f>
                      <c15:dlblFieldTableCache>
                        <c:ptCount val="1"/>
                        <c:pt idx="0">
                          <c:v>13</c:v>
                        </c:pt>
                      </c15:dlblFieldTableCache>
                    </c15:dlblFTEntry>
                  </c15:dlblFieldTable>
                  <c15:showDataLabelsRange val="0"/>
                </c:ext>
                <c:ext xmlns:c16="http://schemas.microsoft.com/office/drawing/2014/chart" uri="{C3380CC4-5D6E-409C-BE32-E72D297353CC}">
                  <c16:uniqueId val="{00000000-AED8-427B-9B81-E843ABE51EC4}"/>
                </c:ext>
              </c:extLst>
            </c:dLbl>
            <c:dLbl>
              <c:idx val="1"/>
              <c:layout>
                <c:manualLayout>
                  <c:x val="-5.0487603598626868E-3"/>
                  <c:y val="-1.3661202185792349E-2"/>
                </c:manualLayout>
              </c:layout>
              <c:tx>
                <c:strRef>
                  <c:f>uebb038_Landkarte_Bundeslae!$X$6</c:f>
                  <c:strCache>
                    <c:ptCount val="1"/>
                    <c:pt idx="0">
                      <c:v>212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{4937A24F-C846-488E-A00A-62D7B4358B67}</c15:txfldGUID>
                      <c15:f>uebb038_Landkarte_Bundeslae!$X$6</c15:f>
                      <c15:dlblFieldTableCache>
                        <c:ptCount val="1"/>
                        <c:pt idx="0">
                          <c:v>212</c:v>
                        </c:pt>
                      </c15:dlblFieldTableCache>
                    </c15:dlblFTEntry>
                  </c15:dlblFieldTable>
                  <c15:showDataLabelsRange val="0"/>
                </c:ext>
                <c:ext xmlns:c16="http://schemas.microsoft.com/office/drawing/2014/chart" uri="{C3380CC4-5D6E-409C-BE32-E72D297353CC}">
                  <c16:uniqueId val="{00000001-AED8-427B-9B81-E843ABE51EC4}"/>
                </c:ext>
              </c:extLst>
            </c:dLbl>
            <c:dLbl>
              <c:idx val="2"/>
              <c:tx>
                <c:strRef>
                  <c:f>uebb038_Landkarte_Bundeslae!$X$7</c:f>
                  <c:strCache>
                    <c:ptCount val="1"/>
                    <c:pt idx="0">
                      <c:v>73</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{43DC9CF0-2CB5-432F-A75F-08351EC6F53F}</c15:txfldGUID>
                      <c15:f>uebb038_Landkarte_Bundeslae!$X$7</c15:f>
                      <c15:dlblFieldTableCache>
                        <c:ptCount val="1"/>
                        <c:pt idx="0">
                          <c:v>73</c:v>
                        </c:pt>
                      </c15:dlblFieldTableCache>
                    </c15:dlblFTEntry>
                  </c15:dlblFieldTable>
                  <c15:showDataLabelsRange val="0"/>
                </c:ext>
                <c:ext xmlns:c16="http://schemas.microsoft.com/office/drawing/2014/chart" uri="{C3380CC4-5D6E-409C-BE32-E72D297353CC}">
                  <c16:uniqueId val="{00000002-AED8-427B-9B81-E843ABE51EC4}"/>
                </c:ext>
              </c:extLst>
            </c:dLbl>
            <c:dLbl>
              <c:idx val="3"/>
              <c:tx>
                <c:strRef>
                  <c:f>uebb038_Landkarte_Bundeslae!$X$8</c:f>
                  <c:strCache>
                    <c:ptCount val="1"/>
                    <c:pt idx="0">
                      <c:v>262</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{A32A8700-02C4-4C40-95E1-7672D5D089BE}</c15:txfldGUID>
                      <c15:f>uebb038_Landkarte_Bundeslae!$X$8</c15:f>
                      <c15:dlblFieldTableCache>
                        <c:ptCount val="1"/>
                        <c:pt idx="0">
                          <c:v>262</c:v>
                        </c:pt>
                      </c15:dlblFieldTableCache>
                    </c15:dlblFTEntry>
                  </c15:dlblFieldTable>
                  <c15:showDataLabelsRange val="0"/>
                </c:ext>
                <c:ext xmlns:c16="http://schemas.microsoft.com/office/drawing/2014/chart" uri="{C3380CC4-5D6E-409C-BE32-E72D297353CC}">
                  <c16:uniqueId val="{00000003-AED8-427B-9B81-E843ABE51EC4}"/>
                </c:ext>
              </c:extLst>
            </c:dLbl>
            <c:dLbl>
              <c:idx val="4"/>
              <c:layout>
                <c:manualLayout>
                  <c:x val="-3.4207940112534405E-2"/>
                  <c:y val="-4.3715846994535519E-2"/>
                </c:manualLayout>
              </c:layout>
              <c:tx>
                <c:strRef>
                  <c:f>uebb038_Landkarte_Bundeslae!$X$9</c:f>
                  <c:strCache>
                    <c:ptCount val="1"/>
                    <c:pt idx="0">
                      <c:v>355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{8A991DE2-E1B8-433E-8BF3-EA727C061C0A}</c15:txfldGUID>
                      <c15:f>uebb038_Landkarte_Bundeslae!$X$9</c15:f>
                      <c15:dlblFieldTableCache>
                        <c:ptCount val="1"/>
                        <c:pt idx="0">
                          <c:v>355</c:v>
                        </c:pt>
                      </c15:dlblFieldTableCache>
                    </c15:dlblFTEntry>
                  </c15:dlblFieldTable>
                  <c15:showDataLabelsRange val="0"/>
                </c:ext>
                <c:ext xmlns:c16="http://schemas.microsoft.com/office/drawing/2014/chart" uri="{C3380CC4-5D6E-409C-BE32-E72D297353CC}">
                  <c16:uniqueId val="{00000004-AED8-427B-9B81-E843ABE51EC4}"/>
                </c:ext>
              </c:extLst>
            </c:dLbl>
            <c:dLbl>
              <c:idx val="5"/>
              <c:layout>
                <c:manualLayout>
                  <c:x val="6.5195782044503159E-2"/>
                  <c:y val="-0.25683060109289618"/>
                </c:manualLayout>
              </c:layout>
              <c:tx>
                <c:strRef>
                  <c:f>uebb038_Landkarte_Bundeslae!$X$10</c:f>
                  <c:strCache>
                    <c:ptCount val="1"/>
                    <c:pt idx="0">
                      <c:v> 2.061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{12FFA03B-1A84-4976-83CC-DF61531BC806}</c15:txfldGUID>
                      <c15:f>uebb038_Landkarte_Bundeslae!$X$10</c15:f>
                      <c15:dlblFieldTableCache>
                        <c:ptCount val="1"/>
                        <c:pt idx="0">
                          <c:v> 2.061 </c:v>
                        </c:pt>
                      </c15:dlblFieldTableCache>
                    </c15:dlblFTEntry>
                  </c15:dlblFieldTable>
                  <c15:showDataLabelsRange val="0"/>
                </c:ext>
                <c:ext xmlns:c16="http://schemas.microsoft.com/office/drawing/2014/chart" uri="{C3380CC4-5D6E-409C-BE32-E72D297353CC}">
                  <c16:uniqueId val="{00000005-AED8-427B-9B81-E843ABE51EC4}"/>
                </c:ext>
              </c:extLst>
            </c:dLbl>
            <c:dLbl>
              <c:idx val="6"/>
              <c:layout>
                <c:manualLayout>
                  <c:x val="1.8803355022272619E-2"/>
                  <c:y val="-2.185792349726776E-2"/>
                </c:manualLayout>
              </c:layout>
              <c:tx>
                <c:strRef>
                  <c:f>uebb038_Landkarte_Bundeslae!$X$11</c:f>
                  <c:strCache>
                    <c:ptCount val="1"/>
                    <c:pt idx="0">
                      <c:v>128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{0FFCBD71-9733-4D65-9CE3-97DC51C4A673}</c15:txfldGUID>
                      <c15:f>uebb038_Landkarte_Bundeslae!$X$11</c15:f>
                      <c15:dlblFieldTableCache>
                        <c:ptCount val="1"/>
                        <c:pt idx="0">
                          <c:v>128</c:v>
                        </c:pt>
                      </c15:dlblFieldTableCache>
                    </c15:dlblFTEntry>
                  </c15:dlblFieldTable>
                  <c15:showDataLabelsRange val="0"/>
                </c:ext>
                <c:ext xmlns:c16="http://schemas.microsoft.com/office/drawing/2014/chart" uri="{C3380CC4-5D6E-409C-BE32-E72D297353CC}">
                  <c16:uniqueId val="{00000006-AED8-427B-9B81-E843ABE51EC4}"/>
                </c:ext>
              </c:extLst>
            </c:dLbl>
            <c:dLbl>
              <c:idx val="7"/>
              <c:layout>
                <c:manualLayout>
                  <c:x val="-5.3289632418242645E-2"/>
                  <c:y val="-3.2786885245901641E-2"/>
                </c:manualLayout>
              </c:layout>
              <c:tx>
                <c:strRef>
                  <c:f>uebb038_Landkarte_Bundeslae!$X$12</c:f>
                  <c:strCache>
                    <c:ptCount val="1"/>
                    <c:pt idx="0">
                      <c:v>797</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{95F60F21-0A74-4149-913D-476E6C30F7AB}</c15:txfldGUID>
                      <c15:f>uebb038_Landkarte_Bundeslae!$X$12</c15:f>
                      <c15:dlblFieldTableCache>
                        <c:ptCount val="1"/>
                        <c:pt idx="0">
                          <c:v>797</c:v>
                        </c:pt>
                      </c15:dlblFieldTableCache>
                    </c15:dlblFTEntry>
                  </c15:dlblFieldTable>
                  <c15:showDataLabelsRange val="0"/>
                </c:ext>
                <c:ext xmlns:c16="http://schemas.microsoft.com/office/drawing/2014/chart" uri="{C3380CC4-5D6E-409C-BE32-E72D297353CC}">
                  <c16:uniqueId val="{00000007-AED8-427B-9B81-E843ABE51EC4}"/>
                </c:ext>
              </c:extLst>
            </c:dLbl>
            <c:dLbl>
              <c:idx val="8"/>
              <c:tx>
                <c:strRef>
                  <c:f>uebb038_Landkarte_Bundeslae!$X$13</c:f>
                  <c:strCache>
                    <c:ptCount val="1"/>
                    <c:pt idx="0">
                      <c:v>18</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{2C117E5D-C9F5-4EA6-84FE-72DF8F9C88BF}</c15:txfldGUID>
                      <c15:f>uebb038_Landkarte_Bundeslae!$X$13</c15:f>
                      <c15:dlblFieldTableCache>
                        <c:ptCount val="1"/>
                        <c:pt idx="0">
                          <c:v>18</c:v>
                        </c:pt>
                      </c15:dlblFieldTableCache>
                    </c15:dlblFTEntry>
                  </c15:dlblFieldTable>
                  <c15:showDataLabelsRange val="0"/>
                </c:ext>
                <c:ext xmlns:c16="http://schemas.microsoft.com/office/drawing/2014/chart" uri="{C3380CC4-5D6E-409C-BE32-E72D297353CC}">
                  <c16:uniqueId val="{00000008-AED8-427B-9B81-E843ABE51EC4}"/>
                </c:ext>
              </c:extLst>
            </c:dLbl>
            <c:spPr>
              <a:noFill/>
              <a:ln>
                <a:noFill/>
              </a:ln>
              <a:effectLst/>
            </c:spPr>
            <c:txPr>
              <a:bodyPr/>
              <a:lstStyle/>
              <a:p>
                <a:pPr>
                  <a:defRPr>
                    <a:solidFill>
                      <a:sysClr val="windowText" lastClr="000000"/>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uebb038_Landkarte_Bundeslae!$T$5:$T$13</c:f>
              <c:numCache>
                <c:formatCode>General</c:formatCode>
                <c:ptCount val="9"/>
                <c:pt idx="0">
                  <c:v>2.5</c:v>
                </c:pt>
                <c:pt idx="1">
                  <c:v>7</c:v>
                </c:pt>
                <c:pt idx="2">
                  <c:v>14</c:v>
                </c:pt>
                <c:pt idx="3">
                  <c:v>16.399999999999999</c:v>
                </c:pt>
                <c:pt idx="4">
                  <c:v>22.5</c:v>
                </c:pt>
                <c:pt idx="5">
                  <c:v>24.2</c:v>
                </c:pt>
                <c:pt idx="6">
                  <c:v>15.5</c:v>
                </c:pt>
                <c:pt idx="7">
                  <c:v>20.7</c:v>
                </c:pt>
                <c:pt idx="8">
                  <c:v>25.2</c:v>
                </c:pt>
              </c:numCache>
            </c:numRef>
          </c:xVal>
          <c:yVal>
            <c:numRef>
              <c:f>uebb038_Landkarte_Bundeslae!$U$5:$U$13</c:f>
              <c:numCache>
                <c:formatCode>General</c:formatCode>
                <c:ptCount val="9"/>
                <c:pt idx="0">
                  <c:v>10</c:v>
                </c:pt>
                <c:pt idx="1">
                  <c:v>10.5</c:v>
                </c:pt>
                <c:pt idx="2">
                  <c:v>12</c:v>
                </c:pt>
                <c:pt idx="3">
                  <c:v>19</c:v>
                </c:pt>
                <c:pt idx="4">
                  <c:v>19.7</c:v>
                </c:pt>
                <c:pt idx="5">
                  <c:v>20</c:v>
                </c:pt>
                <c:pt idx="6">
                  <c:v>6</c:v>
                </c:pt>
                <c:pt idx="7">
                  <c:v>11</c:v>
                </c:pt>
                <c:pt idx="8">
                  <c:v>14</c:v>
                </c:pt>
              </c:numCache>
            </c:numRef>
          </c:yVal>
          <c:smooth val="0"/>
          <c:extLst>
            <c:ext xmlns:c16="http://schemas.microsoft.com/office/drawing/2014/chart" uri="{C3380CC4-5D6E-409C-BE32-E72D297353CC}">
              <c16:uniqueId val="{00000009-AED8-427B-9B81-E843ABE51EC4}"/>
            </c:ext>
          </c:extLst>
        </c:ser>
        <c:dLbls>
          <c:showLegendKey val="0"/>
          <c:showVal val="0"/>
          <c:showCatName val="0"/>
          <c:showSerName val="0"/>
          <c:showPercent val="0"/>
          <c:showBubbleSize val="0"/>
        </c:dLbls>
        <c:axId val="456433664"/>
        <c:axId val="456435200"/>
      </c:scatterChart>
      <c:valAx>
        <c:axId val="456433664"/>
        <c:scaling>
          <c:orientation val="minMax"/>
          <c:max val="30"/>
          <c:min val="0"/>
        </c:scaling>
        <c:delete val="0"/>
        <c:axPos val="b"/>
        <c:numFmt formatCode="General" sourceLinked="1"/>
        <c:majorTickMark val="none"/>
        <c:minorTickMark val="none"/>
        <c:tickLblPos val="none"/>
        <c:spPr>
          <a:ln>
            <a:noFill/>
          </a:ln>
        </c:spPr>
        <c:crossAx val="456435200"/>
        <c:crosses val="autoZero"/>
        <c:crossBetween val="midCat"/>
      </c:valAx>
      <c:valAx>
        <c:axId val="456435200"/>
        <c:scaling>
          <c:orientation val="minMax"/>
          <c:max val="30"/>
          <c:min val="0"/>
        </c:scaling>
        <c:delete val="0"/>
        <c:axPos val="l"/>
        <c:numFmt formatCode="General" sourceLinked="1"/>
        <c:majorTickMark val="none"/>
        <c:minorTickMark val="none"/>
        <c:tickLblPos val="none"/>
        <c:spPr>
          <a:ln>
            <a:noFill/>
          </a:ln>
        </c:spPr>
        <c:crossAx val="456433664"/>
        <c:crosses val="autoZero"/>
        <c:crossBetween val="midCat"/>
      </c:valAx>
      <c:spPr>
        <a:blipFill>
          <a:blip xmlns:r="http://schemas.openxmlformats.org/officeDocument/2006/relationships" r:embed="rId1"/>
          <a:stretch>
            <a:fillRect l="4000" t="10000" b="-38000"/>
          </a:stretch>
        </a:blipFill>
      </c:spPr>
    </c:plotArea>
    <c:plotVisOnly val="1"/>
    <c:dispBlanksAs val="gap"/>
    <c:showDLblsOverMax val="0"/>
  </c:chart>
  <c:spPr>
    <a:ln>
      <a:noFill/>
    </a:ln>
  </c:spPr>
  <c:txPr>
    <a:bodyPr/>
    <a:lstStyle/>
    <a:p>
      <a:pPr>
        <a:defRPr sz="1200" baseline="0">
          <a:solidFill>
            <a:srgbClr val="565656"/>
          </a:solidFill>
          <a:latin typeface="+mn-lt"/>
        </a:defRPr>
      </a:pPr>
      <a:endParaRPr lang="de-DE"/>
    </a:p>
  </c:txPr>
  <c:printSettings>
    <c:headerFooter/>
    <c:pageMargins b="0.78740157499999996" l="0.7" r="0.7" t="0.78740157499999996"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552038407259395"/>
          <c:y val="0.13761934768324424"/>
          <c:w val="0.68428929424022999"/>
          <c:h val="0.83250965354986994"/>
        </c:manualLayout>
      </c:layout>
      <c:barChart>
        <c:barDir val="bar"/>
        <c:grouping val="stacked"/>
        <c:varyColors val="0"/>
        <c:ser>
          <c:idx val="0"/>
          <c:order val="0"/>
          <c:tx>
            <c:strRef>
              <c:f>uebbneu_Factsheet_AT!$D$9</c:f>
              <c:strCache>
                <c:ptCount val="1"/>
                <c:pt idx="0">
                  <c:v>Verträge (Anzahl angedruckt)</c:v>
                </c:pt>
              </c:strCache>
            </c:strRef>
          </c:tx>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uebbneu_Factsheet_AT!$N$10:$N$28</c15:sqref>
                  </c15:fullRef>
                </c:ext>
              </c:extLst>
              <c:f>uebbneu_Factsheet_AT!$N$10:$N$26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uebbneu_Factsheet_AT!$D$10:$D$28</c15:sqref>
                  </c15:fullRef>
                </c:ext>
              </c:extLst>
              <c:f>uebbneu_Factsheet_AT!$D$10:$D$26</c:f>
              <c:numCache>
                <c:formatCode>General</c:formatCode>
                <c:ptCount val="17"/>
                <c:pt idx="0">
                  <c:v>292</c:v>
                </c:pt>
                <c:pt idx="1">
                  <c:v>729</c:v>
                </c:pt>
                <c:pt idx="2">
                  <c:v>123</c:v>
                </c:pt>
                <c:pt idx="4">
                  <c:v>259</c:v>
                </c:pt>
                <c:pt idx="5">
                  <c:v>182</c:v>
                </c:pt>
                <c:pt idx="6">
                  <c:v>88</c:v>
                </c:pt>
                <c:pt idx="7">
                  <c:v>745</c:v>
                </c:pt>
                <c:pt idx="8">
                  <c:v>783</c:v>
                </c:pt>
                <c:pt idx="9">
                  <c:v>439</c:v>
                </c:pt>
                <c:pt idx="11">
                  <c:v>142</c:v>
                </c:pt>
                <c:pt idx="12">
                  <c:v>19</c:v>
                </c:pt>
                <c:pt idx="13">
                  <c:v>8</c:v>
                </c:pt>
                <c:pt idx="15">
                  <c:v>65</c:v>
                </c:pt>
                <c:pt idx="16">
                  <c:v>45</c:v>
                </c:pt>
              </c:numCache>
            </c:numRef>
          </c:val>
          <c:extLst>
            <c:ext xmlns:c16="http://schemas.microsoft.com/office/drawing/2014/chart" uri="{C3380CC4-5D6E-409C-BE32-E72D297353CC}">
              <c16:uniqueId val="{00000000-8587-43FD-B063-BBA434AA143C}"/>
            </c:ext>
          </c:extLst>
        </c:ser>
        <c:ser>
          <c:idx val="2"/>
          <c:order val="1"/>
          <c:tx>
            <c:strRef>
              <c:f>uebbneu_Factsheet_AT!$F$9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uebbneu_Factsheet_AT!$N$10:$N$28</c15:sqref>
                  </c15:fullRef>
                </c:ext>
              </c:extLst>
              <c:f>uebbneu_Factsheet_AT!$N$10:$N$26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uebbneu_Factsheet_AT!$F$10:$F$28</c15:sqref>
                  </c15:fullRef>
                </c:ext>
              </c:extLst>
              <c:f>uebbneu_Factsheet_AT!$F$10:$F$26</c:f>
              <c:numCache>
                <c:formatCode>#,##0</c:formatCode>
                <c:ptCount val="17"/>
                <c:pt idx="0">
                  <c:v>1024</c:v>
                </c:pt>
                <c:pt idx="1">
                  <c:v>3775</c:v>
                </c:pt>
                <c:pt idx="2">
                  <c:v>121</c:v>
                </c:pt>
                <c:pt idx="4">
                  <c:v>948</c:v>
                </c:pt>
                <c:pt idx="5">
                  <c:v>1088</c:v>
                </c:pt>
                <c:pt idx="6">
                  <c:v>866</c:v>
                </c:pt>
                <c:pt idx="7">
                  <c:v>2745</c:v>
                </c:pt>
                <c:pt idx="8">
                  <c:v>2747</c:v>
                </c:pt>
                <c:pt idx="9">
                  <c:v>1315</c:v>
                </c:pt>
                <c:pt idx="11">
                  <c:v>1565</c:v>
                </c:pt>
                <c:pt idx="12">
                  <c:v>120</c:v>
                </c:pt>
                <c:pt idx="13">
                  <c:v>0</c:v>
                </c:pt>
                <c:pt idx="15">
                  <c:v>299</c:v>
                </c:pt>
                <c:pt idx="16">
                  <c:v>111</c:v>
                </c:pt>
              </c:numCache>
            </c:numRef>
          </c:val>
          <c:extLst>
            <c:ext xmlns:c16="http://schemas.microsoft.com/office/drawing/2014/chart" uri="{C3380CC4-5D6E-409C-BE32-E72D297353CC}">
              <c16:uniqueId val="{0000001F-8587-43FD-B063-BBA434AA143C}"/>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49263484921528"/>
          <c:y val="0.27844492448226715"/>
          <c:w val="0.79288476695515087"/>
          <c:h val="0.67525897119081979"/>
        </c:manualLayout>
      </c:layout>
      <c:barChart>
        <c:barDir val="bar"/>
        <c:grouping val="clustered"/>
        <c:varyColors val="0"/>
        <c:ser>
          <c:idx val="0"/>
          <c:order val="0"/>
          <c:invertIfNegative val="0"/>
          <c:dLbls>
            <c:dLbl>
              <c:idx val="0"/>
              <c:tx>
                <c:strRef>
                  <c:f>uebbneu_Factsheet_AT!$E$57</c:f>
                  <c:strCache>
                    <c:ptCount val="1"/>
                    <c:pt idx="0">
                      <c:v>1.365</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{A9F0B047-DB36-480F-AB85-19B37C4013EF}</c15:txfldGUID>
                      <c15:f>uebbneu_Factsheet_AT!$E$57</c15:f>
                      <c15:dlblFieldTableCache>
                        <c:ptCount val="1"/>
                        <c:pt idx="0">
                          <c:v>1.365</c:v>
                        </c:pt>
                      </c15:dlblFieldTableCache>
                    </c15:dlblFTEntry>
                  </c15:dlblFieldTable>
                  <c15:showDataLabelsRange val="0"/>
                </c:ext>
                <c:ext xmlns:c16="http://schemas.microsoft.com/office/drawing/2014/chart" uri="{C3380CC4-5D6E-409C-BE32-E72D297353CC}">
                  <c16:uniqueId val="{00000000-2F92-42D3-AA3C-C92875C34D5C}"/>
                </c:ext>
              </c:extLst>
            </c:dLbl>
            <c:dLbl>
              <c:idx val="1"/>
              <c:tx>
                <c:strRef>
                  <c:f>uebbneu_Factsheet_AT!$E$58</c:f>
                  <c:strCache>
                    <c:ptCount val="1"/>
                    <c:pt idx="0">
                      <c:v>1.138</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{D13C6D3A-F62B-4BC5-9DA5-1C44A6CFC9DC}</c15:txfldGUID>
                      <c15:f>uebbneu_Factsheet_AT!$E$58</c15:f>
                      <c15:dlblFieldTableCache>
                        <c:ptCount val="1"/>
                        <c:pt idx="0">
                          <c:v>1.138</c:v>
                        </c:pt>
                      </c15:dlblFieldTableCache>
                    </c15:dlblFTEntry>
                  </c15:dlblFieldTable>
                  <c15:showDataLabelsRange val="0"/>
                </c:ext>
                <c:ext xmlns:c16="http://schemas.microsoft.com/office/drawing/2014/chart" uri="{C3380CC4-5D6E-409C-BE32-E72D297353CC}">
                  <c16:uniqueId val="{00000001-2F92-42D3-AA3C-C92875C34D5C}"/>
                </c:ext>
              </c:extLst>
            </c:dLbl>
            <c:dLbl>
              <c:idx val="2"/>
              <c:tx>
                <c:strRef>
                  <c:f>uebbneu_Factsheet_AT!$E$59</c:f>
                  <c:strCache>
                    <c:ptCount val="1"/>
                    <c:pt idx="0">
                      <c:v>1.041</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{2056B47D-37D0-4629-83D9-88D81AD1FB72}</c15:txfldGUID>
                      <c15:f>uebbneu_Factsheet_AT!$E$59</c15:f>
                      <c15:dlblFieldTableCache>
                        <c:ptCount val="1"/>
                        <c:pt idx="0">
                          <c:v>1.041</c:v>
                        </c:pt>
                      </c15:dlblFieldTableCache>
                    </c15:dlblFTEntry>
                  </c15:dlblFieldTable>
                  <c15:showDataLabelsRange val="0"/>
                </c:ext>
                <c:ext xmlns:c16="http://schemas.microsoft.com/office/drawing/2014/chart" uri="{C3380CC4-5D6E-409C-BE32-E72D297353CC}">
                  <c16:uniqueId val="{00000002-2F92-42D3-AA3C-C92875C34D5C}"/>
                </c:ext>
              </c:extLst>
            </c:dLbl>
            <c:dLbl>
              <c:idx val="3"/>
              <c:layout>
                <c:manualLayout>
                  <c:x val="-6.926991268948525E-2"/>
                  <c:y val="8.1070947212679498E-7"/>
                </c:manualLayout>
              </c:layout>
              <c:tx>
                <c:strRef>
                  <c:f>uebbneu_Factsheet_AT!$E$60</c:f>
                  <c:strCache>
                    <c:ptCount val="1"/>
                    <c:pt idx="0">
                      <c:v>122</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{13BC539A-D684-4681-B748-6CC85030B0B1}</c15:txfldGUID>
                      <c15:f>uebbneu_Factsheet_AT!$E$60</c15:f>
                      <c15:dlblFieldTableCache>
                        <c:ptCount val="1"/>
                        <c:pt idx="0">
                          <c:v>122</c:v>
                        </c:pt>
                      </c15:dlblFieldTableCache>
                    </c15:dlblFTEntry>
                  </c15:dlblFieldTable>
                  <c15:showDataLabelsRange val="0"/>
                </c:ext>
                <c:ext xmlns:c16="http://schemas.microsoft.com/office/drawing/2014/chart" uri="{C3380CC4-5D6E-409C-BE32-E72D297353CC}">
                  <c16:uniqueId val="{00000003-2F92-42D3-AA3C-C92875C34D5C}"/>
                </c:ext>
              </c:extLst>
            </c:dLbl>
            <c:dLbl>
              <c:idx val="4"/>
              <c:tx>
                <c:strRef>
                  <c:f>uebbneu_Factsheet_AT!$E$61</c:f>
                  <c:strCache>
                    <c:ptCount val="1"/>
                    <c:pt idx="0">
                      <c:v>253</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{3D177A6F-7A43-4149-9852-2ADC096269C4}</c15:txfldGUID>
                      <c15:f>uebbneu_Factsheet_AT!$E$61</c15:f>
                      <c15:dlblFieldTableCache>
                        <c:ptCount val="1"/>
                        <c:pt idx="0">
                          <c:v>253</c:v>
                        </c:pt>
                      </c15:dlblFieldTableCache>
                    </c15:dlblFTEntry>
                  </c15:dlblFieldTable>
                  <c15:showDataLabelsRange val="0"/>
                </c:ext>
                <c:ext xmlns:c16="http://schemas.microsoft.com/office/drawing/2014/chart" uri="{C3380CC4-5D6E-409C-BE32-E72D297353CC}">
                  <c16:uniqueId val="{00000004-2F92-42D3-AA3C-C92875C34D5C}"/>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uebbneu_Factsheet_AT!$D$57:$D$61</c:f>
              <c:strCache>
                <c:ptCount val="5"/>
                <c:pt idx="0">
                  <c:v>HES</c:v>
                </c:pt>
                <c:pt idx="1">
                  <c:v>PRC</c:v>
                </c:pt>
                <c:pt idx="2">
                  <c:v>REC</c:v>
                </c:pt>
                <c:pt idx="3">
                  <c:v>PUB</c:v>
                </c:pt>
                <c:pt idx="4">
                  <c:v>OTH</c:v>
                </c:pt>
              </c:strCache>
            </c:strRef>
          </c:cat>
          <c:val>
            <c:numRef>
              <c:f>uebbneu_Factsheet_AT!$F$57:$F$61</c:f>
              <c:numCache>
                <c:formatCode>#0"%"</c:formatCode>
                <c:ptCount val="5"/>
                <c:pt idx="0">
                  <c:v>34.830313855575397</c:v>
                </c:pt>
                <c:pt idx="1">
                  <c:v>29.038019903036489</c:v>
                </c:pt>
                <c:pt idx="2">
                  <c:v>26.562898698647615</c:v>
                </c:pt>
                <c:pt idx="3">
                  <c:v>3.1130390405715742</c:v>
                </c:pt>
                <c:pt idx="4">
                  <c:v>6.4557285021689212</c:v>
                </c:pt>
              </c:numCache>
            </c:numRef>
          </c:val>
          <c:extLst>
            <c:ext xmlns:c16="http://schemas.microsoft.com/office/drawing/2014/chart" uri="{C3380CC4-5D6E-409C-BE32-E72D297353CC}">
              <c16:uniqueId val="{00000005-2F92-42D3-AA3C-C92875C34D5C}"/>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5236718827869"/>
          <c:y val="0.13761934768324424"/>
          <c:w val="0.66955752682813385"/>
          <c:h val="0.83250965354986994"/>
        </c:manualLayout>
      </c:layout>
      <c:barChart>
        <c:barDir val="bar"/>
        <c:grouping val="stacked"/>
        <c:varyColors val="0"/>
        <c:ser>
          <c:idx val="0"/>
          <c:order val="0"/>
          <c:tx>
            <c:strRef>
              <c:f>uebbneu_Factsheet_Bgl!$D$9</c:f>
              <c:strCache>
                <c:ptCount val="1"/>
                <c:pt idx="0">
                  <c:v>Verträge (Anzahl angedruckt)</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4C6B-465A-938A-BC31AADCEA77}"/>
                </c:ext>
              </c:extLst>
            </c:dLbl>
            <c:dLbl>
              <c:idx val="1"/>
              <c:delete val="1"/>
              <c:extLst>
                <c:ext xmlns:c15="http://schemas.microsoft.com/office/drawing/2012/chart" uri="{CE6537A1-D6FC-4f65-9D91-7224C49458BB}"/>
                <c:ext xmlns:c16="http://schemas.microsoft.com/office/drawing/2014/chart" uri="{C3380CC4-5D6E-409C-BE32-E72D297353CC}">
                  <c16:uniqueId val="{0000000B-4C6B-465A-938A-BC31AADCEA77}"/>
                </c:ext>
              </c:extLst>
            </c:dLbl>
            <c:dLbl>
              <c:idx val="2"/>
              <c:delete val="1"/>
              <c:extLst>
                <c:ext xmlns:c15="http://schemas.microsoft.com/office/drawing/2012/chart" uri="{CE6537A1-D6FC-4f65-9D91-7224C49458BB}"/>
                <c:ext xmlns:c16="http://schemas.microsoft.com/office/drawing/2014/chart" uri="{C3380CC4-5D6E-409C-BE32-E72D297353CC}">
                  <c16:uniqueId val="{0000000A-4C6B-465A-938A-BC31AADCEA77}"/>
                </c:ext>
              </c:extLst>
            </c:dLbl>
            <c:dLbl>
              <c:idx val="4"/>
              <c:delete val="1"/>
              <c:extLst>
                <c:ext xmlns:c15="http://schemas.microsoft.com/office/drawing/2012/chart" uri="{CE6537A1-D6FC-4f65-9D91-7224C49458BB}"/>
                <c:ext xmlns:c16="http://schemas.microsoft.com/office/drawing/2014/chart" uri="{C3380CC4-5D6E-409C-BE32-E72D297353CC}">
                  <c16:uniqueId val="{00000009-4C6B-465A-938A-BC31AADCEA77}"/>
                </c:ext>
              </c:extLst>
            </c:dLbl>
            <c:dLbl>
              <c:idx val="6"/>
              <c:delete val="1"/>
              <c:extLst>
                <c:ext xmlns:c15="http://schemas.microsoft.com/office/drawing/2012/chart" uri="{CE6537A1-D6FC-4f65-9D91-7224C49458BB}"/>
                <c:ext xmlns:c16="http://schemas.microsoft.com/office/drawing/2014/chart" uri="{C3380CC4-5D6E-409C-BE32-E72D297353CC}">
                  <c16:uniqueId val="{00000008-4C6B-465A-938A-BC31AADCEA7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6B-465A-938A-BC31AADCEA77}"/>
                </c:ext>
              </c:extLst>
            </c:dLbl>
            <c:dLbl>
              <c:idx val="11"/>
              <c:delete val="1"/>
              <c:extLst>
                <c:ext xmlns:c15="http://schemas.microsoft.com/office/drawing/2012/chart" uri="{CE6537A1-D6FC-4f65-9D91-7224C49458BB}"/>
                <c:ext xmlns:c16="http://schemas.microsoft.com/office/drawing/2014/chart" uri="{C3380CC4-5D6E-409C-BE32-E72D297353CC}">
                  <c16:uniqueId val="{00000006-4C6B-465A-938A-BC31AADCEA77}"/>
                </c:ext>
              </c:extLst>
            </c:dLbl>
            <c:dLbl>
              <c:idx val="12"/>
              <c:delete val="1"/>
              <c:extLst>
                <c:ext xmlns:c15="http://schemas.microsoft.com/office/drawing/2012/chart" uri="{CE6537A1-D6FC-4f65-9D91-7224C49458BB}"/>
                <c:ext xmlns:c16="http://schemas.microsoft.com/office/drawing/2014/chart" uri="{C3380CC4-5D6E-409C-BE32-E72D297353CC}">
                  <c16:uniqueId val="{00000005-4C6B-465A-938A-BC31AADCEA77}"/>
                </c:ext>
              </c:extLst>
            </c:dLbl>
            <c:dLbl>
              <c:idx val="13"/>
              <c:delete val="1"/>
              <c:extLst>
                <c:ext xmlns:c15="http://schemas.microsoft.com/office/drawing/2012/chart" uri="{CE6537A1-D6FC-4f65-9D91-7224C49458BB}"/>
                <c:ext xmlns:c16="http://schemas.microsoft.com/office/drawing/2014/chart" uri="{C3380CC4-5D6E-409C-BE32-E72D297353CC}">
                  <c16:uniqueId val="{00000004-4C6B-465A-938A-BC31AADCEA77}"/>
                </c:ext>
              </c:extLst>
            </c:dLbl>
            <c:dLbl>
              <c:idx val="15"/>
              <c:delete val="1"/>
              <c:extLst>
                <c:ext xmlns:c15="http://schemas.microsoft.com/office/drawing/2012/chart" uri="{CE6537A1-D6FC-4f65-9D91-7224C49458BB}"/>
                <c:ext xmlns:c16="http://schemas.microsoft.com/office/drawing/2014/chart" uri="{C3380CC4-5D6E-409C-BE32-E72D297353CC}">
                  <c16:uniqueId val="{00000002-4C6B-465A-938A-BC31AADCEA77}"/>
                </c:ext>
              </c:extLst>
            </c:dLbl>
            <c:dLbl>
              <c:idx val="16"/>
              <c:delete val="1"/>
              <c:extLst>
                <c:ext xmlns:c15="http://schemas.microsoft.com/office/drawing/2012/chart" uri="{CE6537A1-D6FC-4f65-9D91-7224C49458BB}"/>
                <c:ext xmlns:c16="http://schemas.microsoft.com/office/drawing/2014/chart" uri="{C3380CC4-5D6E-409C-BE32-E72D297353CC}">
                  <c16:uniqueId val="{00000003-4C6B-465A-938A-BC31AADCEA77}"/>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uebbneu_Factsheet_Bgl!$N$10:$N$28</c15:sqref>
                  </c15:fullRef>
                </c:ext>
              </c:extLst>
              <c:f>uebbneu_Factsheet_Bgl!$N$10:$N$26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uebbneu_Factsheet_Bgl!$D$10:$D$28</c15:sqref>
                  </c15:fullRef>
                </c:ext>
              </c:extLst>
              <c:f>uebbneu_Factsheet_Bgl!$D$10:$D$26</c:f>
              <c:numCache>
                <c:formatCode>General</c:formatCode>
                <c:ptCount val="17"/>
                <c:pt idx="0">
                  <c:v>0</c:v>
                </c:pt>
                <c:pt idx="1">
                  <c:v>0</c:v>
                </c:pt>
                <c:pt idx="2">
                  <c:v>0</c:v>
                </c:pt>
                <c:pt idx="4">
                  <c:v>0</c:v>
                </c:pt>
                <c:pt idx="5">
                  <c:v>1</c:v>
                </c:pt>
                <c:pt idx="6">
                  <c:v>0</c:v>
                </c:pt>
                <c:pt idx="7">
                  <c:v>3</c:v>
                </c:pt>
                <c:pt idx="8">
                  <c:v>9</c:v>
                </c:pt>
                <c:pt idx="9">
                  <c:v>4</c:v>
                </c:pt>
                <c:pt idx="11">
                  <c:v>0</c:v>
                </c:pt>
                <c:pt idx="12">
                  <c:v>1</c:v>
                </c:pt>
                <c:pt idx="13">
                  <c:v>0</c:v>
                </c:pt>
                <c:pt idx="15">
                  <c:v>0</c:v>
                </c:pt>
                <c:pt idx="16">
                  <c:v>0</c:v>
                </c:pt>
              </c:numCache>
            </c:numRef>
          </c:val>
          <c:extLst>
            <c:ext xmlns:c16="http://schemas.microsoft.com/office/drawing/2014/chart" uri="{C3380CC4-5D6E-409C-BE32-E72D297353CC}">
              <c16:uniqueId val="{00000000-BE77-43B8-8630-D0DE63CA498C}"/>
            </c:ext>
          </c:extLst>
        </c:ser>
        <c:ser>
          <c:idx val="2"/>
          <c:order val="1"/>
          <c:tx>
            <c:strRef>
              <c:f>uebbneu_Factsheet_Bgl!$F$9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uebbneu_Factsheet_Bgl!$N$10:$N$28</c15:sqref>
                  </c15:fullRef>
                </c:ext>
              </c:extLst>
              <c:f>uebbneu_Factsheet_Bgl!$N$10:$N$26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uebbneu_Factsheet_Bgl!$F$10:$F$28</c15:sqref>
                  </c15:fullRef>
                </c:ext>
              </c:extLst>
              <c:f>uebbneu_Factsheet_Bgl!$F$10:$F$26</c:f>
              <c:numCache>
                <c:formatCode>#,##0</c:formatCode>
                <c:ptCount val="17"/>
                <c:pt idx="0">
                  <c:v>0</c:v>
                </c:pt>
                <c:pt idx="1">
                  <c:v>5</c:v>
                </c:pt>
                <c:pt idx="2">
                  <c:v>0</c:v>
                </c:pt>
                <c:pt idx="4">
                  <c:v>2</c:v>
                </c:pt>
                <c:pt idx="5">
                  <c:v>3</c:v>
                </c:pt>
                <c:pt idx="6">
                  <c:v>0</c:v>
                </c:pt>
                <c:pt idx="7">
                  <c:v>12</c:v>
                </c:pt>
                <c:pt idx="8">
                  <c:v>60</c:v>
                </c:pt>
                <c:pt idx="9">
                  <c:v>9</c:v>
                </c:pt>
                <c:pt idx="11">
                  <c:v>9</c:v>
                </c:pt>
                <c:pt idx="12">
                  <c:v>0</c:v>
                </c:pt>
                <c:pt idx="13">
                  <c:v>0</c:v>
                </c:pt>
                <c:pt idx="15">
                  <c:v>1</c:v>
                </c:pt>
                <c:pt idx="16">
                  <c:v>0</c:v>
                </c:pt>
              </c:numCache>
            </c:numRef>
          </c:val>
          <c:extLst>
            <c:ext xmlns:c16="http://schemas.microsoft.com/office/drawing/2014/chart" uri="{C3380CC4-5D6E-409C-BE32-E72D297353CC}">
              <c16:uniqueId val="{00000016-BE77-43B8-8630-D0DE63CA498C}"/>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03915527183148E-2"/>
          <c:y val="2.9341038983022705E-2"/>
          <c:w val="0.62996207315517783"/>
          <c:h val="0.90145066104253047"/>
        </c:manualLayout>
      </c:layout>
      <c:barChart>
        <c:barDir val="col"/>
        <c:grouping val="percentStacked"/>
        <c:varyColors val="0"/>
        <c:ser>
          <c:idx val="0"/>
          <c:order val="0"/>
          <c:tx>
            <c:strRef>
              <c:f>'002_Verteilung_Budget'!$F$61</c:f>
              <c:strCache>
                <c:ptCount val="1"/>
                <c:pt idx="0">
                  <c:v>Excellent Science</c:v>
                </c:pt>
              </c:strCache>
            </c:strRef>
          </c:tx>
          <c:spPr>
            <a:ln>
              <a:solidFill>
                <a:schemeClr val="bg1"/>
              </a:solidFill>
            </a:ln>
          </c:spPr>
          <c:invertIfNegative val="0"/>
          <c:dLbls>
            <c:spPr>
              <a:noFill/>
              <a:ln>
                <a:noFill/>
              </a:ln>
              <a:effectLst/>
            </c:spPr>
            <c:txPr>
              <a:bodyPr/>
              <a:lstStyle/>
              <a:p>
                <a:pPr>
                  <a:defRPr sz="11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('002_Verteilung_Budget'!$G$60,'002_Verteilung_Budget'!$I$60)</c:f>
              <c:strCache>
                <c:ptCount val="2"/>
                <c:pt idx="0">
                  <c:v>Bisher dokumentiert</c:v>
                </c:pt>
                <c:pt idx="1">
                  <c:v>Budget Horizon Europe</c:v>
                </c:pt>
              </c:strCache>
            </c:strRef>
          </c:cat>
          <c:val>
            <c:numRef>
              <c:f>('002_Verteilung_Budget'!$G$61,'002_Verteilung_Budget'!$I$61)</c:f>
              <c:numCache>
                <c:formatCode>#,##0.00</c:formatCode>
                <c:ptCount val="2"/>
                <c:pt idx="0">
                  <c:v>16908.987494669902</c:v>
                </c:pt>
                <c:pt idx="1">
                  <c:v>25011</c:v>
                </c:pt>
              </c:numCache>
            </c:numRef>
          </c:val>
          <c:extLst>
            <c:ext xmlns:c16="http://schemas.microsoft.com/office/drawing/2014/chart" uri="{C3380CC4-5D6E-409C-BE32-E72D297353CC}">
              <c16:uniqueId val="{00000000-49B9-497F-A94F-F6224B5BE91E}"/>
            </c:ext>
          </c:extLst>
        </c:ser>
        <c:ser>
          <c:idx val="1"/>
          <c:order val="1"/>
          <c:tx>
            <c:strRef>
              <c:f>'002_Verteilung_Budget'!$F$62</c:f>
              <c:strCache>
                <c:ptCount val="1"/>
                <c:pt idx="0">
                  <c:v>Global Challenges and European Industrial Competitiveness</c:v>
                </c:pt>
              </c:strCache>
            </c:strRef>
          </c:tx>
          <c:spPr>
            <a:ln>
              <a:solidFill>
                <a:schemeClr val="bg1"/>
              </a:solidFill>
            </a:ln>
          </c:spPr>
          <c:invertIfNegative val="0"/>
          <c:dLbls>
            <c:spPr>
              <a:noFill/>
              <a:ln>
                <a:noFill/>
              </a:ln>
              <a:effectLst/>
            </c:spPr>
            <c:txPr>
              <a:bodyPr/>
              <a:lstStyle/>
              <a:p>
                <a:pPr>
                  <a:defRPr sz="11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('002_Verteilung_Budget'!$G$60,'002_Verteilung_Budget'!$I$60)</c:f>
              <c:strCache>
                <c:ptCount val="2"/>
                <c:pt idx="0">
                  <c:v>Bisher dokumentiert</c:v>
                </c:pt>
                <c:pt idx="1">
                  <c:v>Budget Horizon Europe</c:v>
                </c:pt>
              </c:strCache>
            </c:strRef>
          </c:cat>
          <c:val>
            <c:numRef>
              <c:f>('002_Verteilung_Budget'!$G$62,'002_Verteilung_Budget'!$I$62)</c:f>
              <c:numCache>
                <c:formatCode>#,##0.00</c:formatCode>
                <c:ptCount val="2"/>
                <c:pt idx="0">
                  <c:v>33079.0634744204</c:v>
                </c:pt>
                <c:pt idx="1">
                  <c:v>53516</c:v>
                </c:pt>
              </c:numCache>
            </c:numRef>
          </c:val>
          <c:extLst>
            <c:ext xmlns:c16="http://schemas.microsoft.com/office/drawing/2014/chart" uri="{C3380CC4-5D6E-409C-BE32-E72D297353CC}">
              <c16:uniqueId val="{00000001-49B9-497F-A94F-F6224B5BE91E}"/>
            </c:ext>
          </c:extLst>
        </c:ser>
        <c:ser>
          <c:idx val="2"/>
          <c:order val="2"/>
          <c:tx>
            <c:strRef>
              <c:f>'002_Verteilung_Budget'!$F$63</c:f>
              <c:strCache>
                <c:ptCount val="1"/>
                <c:pt idx="0">
                  <c:v>Innovative Europe</c:v>
                </c:pt>
              </c:strCache>
            </c:strRef>
          </c:tx>
          <c:spPr>
            <a:ln>
              <a:solidFill>
                <a:schemeClr val="bg1"/>
              </a:solidFill>
            </a:ln>
          </c:spPr>
          <c:invertIfNegative val="0"/>
          <c:dLbls>
            <c:dLbl>
              <c:idx val="0"/>
              <c:layout>
                <c:manualLayout>
                  <c:x val="0"/>
                  <c:y val="1.0286078521655631E-2"/>
                </c:manualLayout>
              </c:layou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251-43DF-B7D1-484ED9DFFC1B}"/>
                </c:ext>
              </c:extLst>
            </c:dLbl>
            <c:spPr>
              <a:noFill/>
              <a:ln>
                <a:noFill/>
              </a:ln>
              <a:effectLst/>
            </c:spPr>
            <c:txPr>
              <a:bodyPr/>
              <a:lstStyle/>
              <a:p>
                <a:pPr>
                  <a:defRPr sz="1100">
                    <a:solidFill>
                      <a:schemeClr val="bg1"/>
                    </a:solidFill>
                    <a:latin typeface="+mn-lt"/>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('002_Verteilung_Budget'!$G$60,'002_Verteilung_Budget'!$I$60)</c:f>
              <c:strCache>
                <c:ptCount val="2"/>
                <c:pt idx="0">
                  <c:v>Bisher dokumentiert</c:v>
                </c:pt>
                <c:pt idx="1">
                  <c:v>Budget Horizon Europe</c:v>
                </c:pt>
              </c:strCache>
            </c:strRef>
          </c:cat>
          <c:val>
            <c:numRef>
              <c:f>('002_Verteilung_Budget'!$G$63,'002_Verteilung_Budget'!$I$63)</c:f>
              <c:numCache>
                <c:formatCode>#,##0.00</c:formatCode>
                <c:ptCount val="2"/>
                <c:pt idx="0">
                  <c:v>6418.8010401500105</c:v>
                </c:pt>
                <c:pt idx="1">
                  <c:v>13597</c:v>
                </c:pt>
              </c:numCache>
            </c:numRef>
          </c:val>
          <c:extLst>
            <c:ext xmlns:c16="http://schemas.microsoft.com/office/drawing/2014/chart" uri="{C3380CC4-5D6E-409C-BE32-E72D297353CC}">
              <c16:uniqueId val="{00000002-49B9-497F-A94F-F6224B5BE91E}"/>
            </c:ext>
          </c:extLst>
        </c:ser>
        <c:ser>
          <c:idx val="3"/>
          <c:order val="3"/>
          <c:tx>
            <c:strRef>
              <c:f>'002_Verteilung_Budget'!$F$64</c:f>
              <c:strCache>
                <c:ptCount val="1"/>
                <c:pt idx="0">
                  <c:v>Widening Participation and Strengthening the European Research Area</c:v>
                </c:pt>
              </c:strCache>
            </c:strRef>
          </c:tx>
          <c:spPr>
            <a:ln>
              <a:solidFill>
                <a:schemeClr val="bg1"/>
              </a:solidFill>
            </a:ln>
          </c:spPr>
          <c:invertIfNegative val="0"/>
          <c:dLbls>
            <c:spPr>
              <a:noFill/>
              <a:ln>
                <a:noFill/>
              </a:ln>
              <a:effectLst/>
            </c:spPr>
            <c:txPr>
              <a:bodyPr wrap="square" lIns="38100" tIns="19050" rIns="38100" bIns="19050" anchor="ctr">
                <a:spAutoFit/>
              </a:bodyPr>
              <a:lstStyle/>
              <a:p>
                <a:pPr>
                  <a:defRPr sz="1050">
                    <a:solidFill>
                      <a:schemeClr val="bg1"/>
                    </a:solidFill>
                    <a:latin typeface="+mn-lt"/>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('002_Verteilung_Budget'!$G$60,'002_Verteilung_Budget'!$I$60)</c:f>
              <c:strCache>
                <c:ptCount val="2"/>
                <c:pt idx="0">
                  <c:v>Bisher dokumentiert</c:v>
                </c:pt>
                <c:pt idx="1">
                  <c:v>Budget Horizon Europe</c:v>
                </c:pt>
              </c:strCache>
            </c:strRef>
          </c:cat>
          <c:val>
            <c:numRef>
              <c:f>('002_Verteilung_Budget'!$G$64,'002_Verteilung_Budget'!$I$64)</c:f>
              <c:numCache>
                <c:formatCode>#,##0.00</c:formatCode>
                <c:ptCount val="2"/>
                <c:pt idx="0">
                  <c:v>1889.13337032</c:v>
                </c:pt>
                <c:pt idx="1">
                  <c:v>3393</c:v>
                </c:pt>
              </c:numCache>
            </c:numRef>
          </c:val>
          <c:extLst>
            <c:ext xmlns:c16="http://schemas.microsoft.com/office/drawing/2014/chart" uri="{C3380CC4-5D6E-409C-BE32-E72D297353CC}">
              <c16:uniqueId val="{00000003-49B9-497F-A94F-F6224B5BE91E}"/>
            </c:ext>
          </c:extLst>
        </c:ser>
        <c:dLbls>
          <c:showLegendKey val="0"/>
          <c:showVal val="0"/>
          <c:showCatName val="0"/>
          <c:showSerName val="0"/>
          <c:showPercent val="0"/>
          <c:showBubbleSize val="0"/>
        </c:dLbls>
        <c:gapWidth val="0"/>
        <c:overlap val="100"/>
        <c:axId val="324996480"/>
        <c:axId val="325014656"/>
        <c:extLst>
          <c:ext xmlns:c15="http://schemas.microsoft.com/office/drawing/2012/chart" uri="{02D57815-91ED-43cb-92C2-25804820EDAC}">
            <c15:filteredBarSeries>
              <c15:ser>
                <c:idx val="4"/>
                <c:order val="4"/>
                <c:tx>
                  <c:strRef>
                    <c:extLst>
                      <c:ext uri="{02D57815-91ED-43cb-92C2-25804820EDAC}">
                        <c15:formulaRef>
                          <c15:sqref>'002_Verteilung_Budget'!$F$65</c15:sqref>
                        </c15:formulaRef>
                      </c:ext>
                    </c:extLst>
                    <c:strCache>
                      <c:ptCount val="1"/>
                      <c:pt idx="0">
                        <c:v>Euratom 2021-2025</c:v>
                      </c:pt>
                    </c:strCache>
                  </c:strRef>
                </c:tx>
                <c:spPr>
                  <a:ln>
                    <a:solidFill>
                      <a:schemeClr val="bg1"/>
                    </a:solidFill>
                  </a:ln>
                </c:spPr>
                <c:invertIfNegative val="0"/>
                <c:cat>
                  <c:strRef>
                    <c:extLst>
                      <c:ext uri="{02D57815-91ED-43cb-92C2-25804820EDAC}">
                        <c15:formulaRef>
                          <c15:sqref>('002_Verteilung_Budget'!$G$60,'002_Verteilung_Budget'!$I$60)</c15:sqref>
                        </c15:formulaRef>
                      </c:ext>
                    </c:extLst>
                    <c:strCache>
                      <c:ptCount val="2"/>
                      <c:pt idx="0">
                        <c:v>Bisher dokumentiert</c:v>
                      </c:pt>
                      <c:pt idx="1">
                        <c:v>Budget Horizon Europe</c:v>
                      </c:pt>
                    </c:strCache>
                  </c:strRef>
                </c:cat>
                <c:val>
                  <c:numRef>
                    <c:extLst>
                      <c:ext uri="{02D57815-91ED-43cb-92C2-25804820EDAC}">
                        <c15:formulaRef>
                          <c15:sqref>('002_Verteilung_Budget'!$G$65,'002_Verteilung_Budget'!$I$65)</c15:sqref>
                        </c15:formulaRef>
                      </c:ext>
                    </c:extLst>
                    <c:numCache>
                      <c:formatCode>#,##0.00</c:formatCode>
                      <c:ptCount val="2"/>
                      <c:pt idx="0">
                        <c:v>0</c:v>
                      </c:pt>
                      <c:pt idx="1">
                        <c:v>1382</c:v>
                      </c:pt>
                    </c:numCache>
                  </c:numRef>
                </c:val>
                <c:extLst>
                  <c:ext xmlns:c16="http://schemas.microsoft.com/office/drawing/2014/chart" uri="{C3380CC4-5D6E-409C-BE32-E72D297353CC}">
                    <c16:uniqueId val="{00000004-49B9-497F-A94F-F6224B5BE91E}"/>
                  </c:ext>
                </c:extLst>
              </c15:ser>
            </c15:filteredBarSeries>
          </c:ext>
        </c:extLst>
      </c:barChart>
      <c:catAx>
        <c:axId val="324996480"/>
        <c:scaling>
          <c:orientation val="minMax"/>
        </c:scaling>
        <c:delete val="0"/>
        <c:axPos val="b"/>
        <c:numFmt formatCode="General" sourceLinked="0"/>
        <c:majorTickMark val="none"/>
        <c:minorTickMark val="none"/>
        <c:tickLblPos val="nextTo"/>
        <c:spPr>
          <a:ln>
            <a:noFill/>
          </a:ln>
        </c:spPr>
        <c:txPr>
          <a:bodyPr/>
          <a:lstStyle/>
          <a:p>
            <a:pPr>
              <a:defRPr sz="1100">
                <a:latin typeface="+mn-lt"/>
              </a:defRPr>
            </a:pPr>
            <a:endParaRPr lang="de-DE"/>
          </a:p>
        </c:txPr>
        <c:crossAx val="325014656"/>
        <c:crosses val="autoZero"/>
        <c:auto val="1"/>
        <c:lblAlgn val="ctr"/>
        <c:lblOffset val="100"/>
        <c:noMultiLvlLbl val="0"/>
      </c:catAx>
      <c:valAx>
        <c:axId val="325014656"/>
        <c:scaling>
          <c:orientation val="minMax"/>
        </c:scaling>
        <c:delete val="0"/>
        <c:axPos val="l"/>
        <c:numFmt formatCode="0%" sourceLinked="1"/>
        <c:majorTickMark val="none"/>
        <c:minorTickMark val="none"/>
        <c:tickLblPos val="nextTo"/>
        <c:spPr>
          <a:ln>
            <a:noFill/>
          </a:ln>
        </c:spPr>
        <c:txPr>
          <a:bodyPr/>
          <a:lstStyle/>
          <a:p>
            <a:pPr>
              <a:defRPr sz="1050">
                <a:latin typeface="+mn-lt"/>
              </a:defRPr>
            </a:pPr>
            <a:endParaRPr lang="de-DE"/>
          </a:p>
        </c:txPr>
        <c:crossAx val="324996480"/>
        <c:crosses val="autoZero"/>
        <c:crossBetween val="between"/>
      </c:valAx>
    </c:plotArea>
    <c:legend>
      <c:legendPos val="r"/>
      <c:legendEntry>
        <c:idx val="1"/>
        <c:delete val="1"/>
      </c:legendEntry>
      <c:legendEntry>
        <c:idx val="2"/>
        <c:delete val="1"/>
      </c:legendEntry>
      <c:legendEntry>
        <c:idx val="3"/>
        <c:delete val="1"/>
      </c:legendEntry>
      <c:layout>
        <c:manualLayout>
          <c:xMode val="edge"/>
          <c:yMode val="edge"/>
          <c:x val="0.70906781805720465"/>
          <c:y val="2.2776374578483388E-2"/>
          <c:w val="0.28439623338945924"/>
          <c:h val="0.24385497925168373"/>
        </c:manualLayout>
      </c:layout>
      <c:overlay val="0"/>
      <c:txPr>
        <a:bodyPr/>
        <a:lstStyle/>
        <a:p>
          <a:pPr>
            <a:defRPr sz="1050">
              <a:latin typeface="+mn-lt"/>
            </a:defRPr>
          </a:pPr>
          <a:endParaRPr lang="de-DE"/>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907261592302"/>
          <c:y val="0.27844492448226715"/>
          <c:w val="0.84126159230096242"/>
          <c:h val="0.67525897119081979"/>
        </c:manualLayout>
      </c:layout>
      <c:barChart>
        <c:barDir val="bar"/>
        <c:grouping val="clustered"/>
        <c:varyColors val="0"/>
        <c:ser>
          <c:idx val="0"/>
          <c:order val="0"/>
          <c:invertIfNegative val="0"/>
          <c:dLbls>
            <c:dLbl>
              <c:idx val="0"/>
              <c:tx>
                <c:strRef>
                  <c:f>uebbneu_Factsheet_Bgl!$E$59</c:f>
                  <c:strCache>
                    <c:ptCount val="1"/>
                    <c:pt idx="0">
                      <c:v>5</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{F3499C9C-40FD-4EF9-9D65-73D5190B2F99}</c15:txfldGUID>
                      <c15:f>uebbneu_Factsheet_Bgl!$E$59</c15:f>
                      <c15:dlblFieldTableCache>
                        <c:ptCount val="1"/>
                        <c:pt idx="0">
                          <c:v>5</c:v>
                        </c:pt>
                      </c15:dlblFieldTableCache>
                    </c15:dlblFTEntry>
                  </c15:dlblFieldTable>
                  <c15:showDataLabelsRange val="0"/>
                </c:ext>
                <c:ext xmlns:c16="http://schemas.microsoft.com/office/drawing/2014/chart" uri="{C3380CC4-5D6E-409C-BE32-E72D297353CC}">
                  <c16:uniqueId val="{00000000-85FE-4B5C-ABEC-BDDABD7CCAFD}"/>
                </c:ext>
              </c:extLst>
            </c:dLbl>
            <c:dLbl>
              <c:idx val="1"/>
              <c:tx>
                <c:strRef>
                  <c:f>uebbneu_Factsheet_Bgl!$E$60</c:f>
                  <c:strCache>
                    <c:ptCount val="1"/>
                    <c:pt idx="0">
                      <c:v>9</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{0BAC387A-49AB-4710-82A9-2F3BD99DAFDF}</c15:txfldGUID>
                      <c15:f>uebbneu_Factsheet_Bgl!$E$60</c15:f>
                      <c15:dlblFieldTableCache>
                        <c:ptCount val="1"/>
                        <c:pt idx="0">
                          <c:v>9</c:v>
                        </c:pt>
                      </c15:dlblFieldTableCache>
                    </c15:dlblFTEntry>
                  </c15:dlblFieldTable>
                  <c15:showDataLabelsRange val="0"/>
                </c:ext>
                <c:ext xmlns:c16="http://schemas.microsoft.com/office/drawing/2014/chart" uri="{C3380CC4-5D6E-409C-BE32-E72D297353CC}">
                  <c16:uniqueId val="{00000001-85FE-4B5C-ABEC-BDDABD7CCAFD}"/>
                </c:ext>
              </c:extLst>
            </c:dLbl>
            <c:dLbl>
              <c:idx val="2"/>
              <c:tx>
                <c:strRef>
                  <c:f>uebbneu_Factsheet_Bgl!$E$61</c:f>
                  <c:strCache>
                    <c:ptCount val="1"/>
                    <c:pt idx="0">
                      <c:v>3</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{51BBD8D6-E1D3-408D-84AF-BA15BA6BC9D1}</c15:txfldGUID>
                      <c15:f>uebbneu_Factsheet_Bgl!$E$61</c15:f>
                      <c15:dlblFieldTableCache>
                        <c:ptCount val="1"/>
                        <c:pt idx="0">
                          <c:v>3</c:v>
                        </c:pt>
                      </c15:dlblFieldTableCache>
                    </c15:dlblFTEntry>
                  </c15:dlblFieldTable>
                  <c15:showDataLabelsRange val="0"/>
                </c:ext>
                <c:ext xmlns:c16="http://schemas.microsoft.com/office/drawing/2014/chart" uri="{C3380CC4-5D6E-409C-BE32-E72D297353CC}">
                  <c16:uniqueId val="{00000002-85FE-4B5C-ABEC-BDDABD7CCAFD}"/>
                </c:ext>
              </c:extLst>
            </c:dLbl>
            <c:dLbl>
              <c:idx val="3"/>
              <c:layout>
                <c:manualLayout>
                  <c:x val="-6.2046077573636629E-2"/>
                  <c:y val="1.2700025401036451E-6"/>
                </c:manualLayout>
              </c:layout>
              <c:tx>
                <c:strRef>
                  <c:f>uebbneu_Factsheet_Bgl!$E$62</c:f>
                  <c:strCache>
                    <c:ptCount val="1"/>
                    <c:pt idx="0">
                      <c:v>1</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{CDDC6D32-A302-4B99-97CD-63E361E376AA}</c15:txfldGUID>
                      <c15:f>uebbneu_Factsheet_Bgl!$E$62</c15:f>
                      <c15:dlblFieldTableCache>
                        <c:ptCount val="1"/>
                        <c:pt idx="0">
                          <c:v>1</c:v>
                        </c:pt>
                      </c15:dlblFieldTableCache>
                    </c15:dlblFTEntry>
                  </c15:dlblFieldTable>
                  <c15:showDataLabelsRange val="0"/>
                </c:ext>
                <c:ext xmlns:c16="http://schemas.microsoft.com/office/drawing/2014/chart" uri="{C3380CC4-5D6E-409C-BE32-E72D297353CC}">
                  <c16:uniqueId val="{00000003-85FE-4B5C-ABEC-BDDABD7CCAFD}"/>
                </c:ext>
              </c:extLst>
            </c:dLbl>
            <c:dLbl>
              <c:idx val="4"/>
              <c:tx>
                <c:strRef>
                  <c:f>uebbneu_Factsheet_Bgl!$E$63</c:f>
                  <c:strCache>
                    <c:ptCount val="1"/>
                    <c:pt idx="0">
                      <c:v>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{F7D93D35-D0E2-46BB-9642-F7A3B8E44AE9}</c15:txfldGUID>
                      <c15:f>uebbneu_Factsheet_Bgl!$E$63</c15:f>
                      <c15:dlblFieldTableCache>
                        <c:ptCount val="1"/>
                        <c:pt idx="0">
                          <c:v>0</c:v>
                        </c:pt>
                      </c15:dlblFieldTableCache>
                    </c15:dlblFTEntry>
                  </c15:dlblFieldTable>
                  <c15:showDataLabelsRange val="0"/>
                </c:ext>
                <c:ext xmlns:c16="http://schemas.microsoft.com/office/drawing/2014/chart" uri="{C3380CC4-5D6E-409C-BE32-E72D297353CC}">
                  <c16:uniqueId val="{00000004-85FE-4B5C-ABEC-BDDABD7CCAFD}"/>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uebbneu_Factsheet_Bgl!$D$59:$D$63</c:f>
              <c:strCache>
                <c:ptCount val="5"/>
                <c:pt idx="0">
                  <c:v>HES</c:v>
                </c:pt>
                <c:pt idx="1">
                  <c:v>PRC</c:v>
                </c:pt>
                <c:pt idx="2">
                  <c:v>REC</c:v>
                </c:pt>
                <c:pt idx="3">
                  <c:v>PUB</c:v>
                </c:pt>
                <c:pt idx="4">
                  <c:v>OTH</c:v>
                </c:pt>
              </c:strCache>
            </c:strRef>
          </c:cat>
          <c:val>
            <c:numRef>
              <c:f>uebbneu_Factsheet_Bgl!$F$59:$F$63</c:f>
              <c:numCache>
                <c:formatCode>#0"%"</c:formatCode>
                <c:ptCount val="5"/>
                <c:pt idx="0">
                  <c:v>27.777777777777779</c:v>
                </c:pt>
                <c:pt idx="1">
                  <c:v>50</c:v>
                </c:pt>
                <c:pt idx="2">
                  <c:v>16.666666666666664</c:v>
                </c:pt>
                <c:pt idx="3">
                  <c:v>5.5555555555555554</c:v>
                </c:pt>
                <c:pt idx="4">
                  <c:v>0</c:v>
                </c:pt>
              </c:numCache>
            </c:numRef>
          </c:val>
          <c:extLst>
            <c:ext xmlns:c16="http://schemas.microsoft.com/office/drawing/2014/chart" uri="{C3380CC4-5D6E-409C-BE32-E72D297353CC}">
              <c16:uniqueId val="{00000005-85FE-4B5C-ABEC-BDDABD7CCAFD}"/>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50"/>
            </a:pPr>
            <a:endParaRPr lang="de-DE"/>
          </a:p>
        </c:txPr>
        <c:crossAx val="459601024"/>
        <c:crosses val="autoZero"/>
        <c:auto val="1"/>
        <c:lblAlgn val="ctr"/>
        <c:lblOffset val="100"/>
        <c:noMultiLvlLbl val="0"/>
      </c:catAx>
      <c:valAx>
        <c:axId val="459601024"/>
        <c:scaling>
          <c:orientation val="minMax"/>
          <c:max val="100"/>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94013090135885"/>
          <c:y val="0.13761934768324424"/>
          <c:w val="0.66786976311505375"/>
          <c:h val="0.83250965354986994"/>
        </c:manualLayout>
      </c:layout>
      <c:barChart>
        <c:barDir val="bar"/>
        <c:grouping val="stacked"/>
        <c:varyColors val="0"/>
        <c:ser>
          <c:idx val="0"/>
          <c:order val="0"/>
          <c:tx>
            <c:strRef>
              <c:f>uebbneu_Factsheet_Ktn!$D$9</c:f>
              <c:strCache>
                <c:ptCount val="1"/>
                <c:pt idx="0">
                  <c:v>Verträge (Anzahl angedruckt)</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269-49E3-94C5-66421F6F274B}"/>
                </c:ext>
              </c:extLst>
            </c:dLbl>
            <c:dLbl>
              <c:idx val="2"/>
              <c:delete val="1"/>
              <c:extLst>
                <c:ext xmlns:c15="http://schemas.microsoft.com/office/drawing/2012/chart" uri="{CE6537A1-D6FC-4f65-9D91-7224C49458BB}"/>
                <c:ext xmlns:c16="http://schemas.microsoft.com/office/drawing/2014/chart" uri="{C3380CC4-5D6E-409C-BE32-E72D297353CC}">
                  <c16:uniqueId val="{00000003-1269-49E3-94C5-66421F6F274B}"/>
                </c:ext>
              </c:extLst>
            </c:dLbl>
            <c:dLbl>
              <c:idx val="5"/>
              <c:delete val="1"/>
              <c:extLst>
                <c:ext xmlns:c15="http://schemas.microsoft.com/office/drawing/2012/chart" uri="{CE6537A1-D6FC-4f65-9D91-7224C49458BB}"/>
                <c:ext xmlns:c16="http://schemas.microsoft.com/office/drawing/2014/chart" uri="{C3380CC4-5D6E-409C-BE32-E72D297353CC}">
                  <c16:uniqueId val="{00000004-1269-49E3-94C5-66421F6F274B}"/>
                </c:ext>
              </c:extLst>
            </c:dLbl>
            <c:dLbl>
              <c:idx val="12"/>
              <c:delete val="1"/>
              <c:extLst>
                <c:ext xmlns:c15="http://schemas.microsoft.com/office/drawing/2012/chart" uri="{CE6537A1-D6FC-4f65-9D91-7224C49458BB}"/>
                <c:ext xmlns:c16="http://schemas.microsoft.com/office/drawing/2014/chart" uri="{C3380CC4-5D6E-409C-BE32-E72D297353CC}">
                  <c16:uniqueId val="{00000005-1269-49E3-94C5-66421F6F274B}"/>
                </c:ext>
              </c:extLst>
            </c:dLbl>
            <c:dLbl>
              <c:idx val="13"/>
              <c:delete val="1"/>
              <c:extLst>
                <c:ext xmlns:c15="http://schemas.microsoft.com/office/drawing/2012/chart" uri="{CE6537A1-D6FC-4f65-9D91-7224C49458BB}"/>
                <c:ext xmlns:c16="http://schemas.microsoft.com/office/drawing/2014/chart" uri="{C3380CC4-5D6E-409C-BE32-E72D297353CC}">
                  <c16:uniqueId val="{00000006-1269-49E3-94C5-66421F6F274B}"/>
                </c:ext>
              </c:extLst>
            </c:dLbl>
            <c:dLbl>
              <c:idx val="16"/>
              <c:delete val="1"/>
              <c:extLst>
                <c:ext xmlns:c15="http://schemas.microsoft.com/office/drawing/2012/chart" uri="{CE6537A1-D6FC-4f65-9D91-7224C49458BB}"/>
                <c:ext xmlns:c16="http://schemas.microsoft.com/office/drawing/2014/chart" uri="{C3380CC4-5D6E-409C-BE32-E72D297353CC}">
                  <c16:uniqueId val="{00000007-1269-49E3-94C5-66421F6F274B}"/>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uebbneu_Factsheet_Ktn!$N$10:$N$28</c15:sqref>
                  </c15:fullRef>
                </c:ext>
              </c:extLst>
              <c:f>uebbneu_Factsheet_Ktn!$N$10:$N$26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uebbneu_Factsheet_Ktn!$D$10:$D$28</c15:sqref>
                  </c15:fullRef>
                </c:ext>
              </c:extLst>
              <c:f>uebbneu_Factsheet_Ktn!$D$10:$D$26</c:f>
              <c:numCache>
                <c:formatCode>General</c:formatCode>
                <c:ptCount val="17"/>
                <c:pt idx="0">
                  <c:v>0</c:v>
                </c:pt>
                <c:pt idx="1">
                  <c:v>9</c:v>
                </c:pt>
                <c:pt idx="2">
                  <c:v>0</c:v>
                </c:pt>
                <c:pt idx="4">
                  <c:v>3</c:v>
                </c:pt>
                <c:pt idx="5">
                  <c:v>3</c:v>
                </c:pt>
                <c:pt idx="6">
                  <c:v>3</c:v>
                </c:pt>
                <c:pt idx="7">
                  <c:v>66</c:v>
                </c:pt>
                <c:pt idx="8">
                  <c:v>31</c:v>
                </c:pt>
                <c:pt idx="9">
                  <c:v>9</c:v>
                </c:pt>
                <c:pt idx="11">
                  <c:v>2</c:v>
                </c:pt>
                <c:pt idx="12">
                  <c:v>0</c:v>
                </c:pt>
                <c:pt idx="13">
                  <c:v>0</c:v>
                </c:pt>
                <c:pt idx="15">
                  <c:v>2</c:v>
                </c:pt>
                <c:pt idx="16">
                  <c:v>0</c:v>
                </c:pt>
              </c:numCache>
            </c:numRef>
          </c:val>
          <c:extLst>
            <c:ext xmlns:c16="http://schemas.microsoft.com/office/drawing/2014/chart" uri="{C3380CC4-5D6E-409C-BE32-E72D297353CC}">
              <c16:uniqueId val="{00000000-C8D2-4884-9A3E-8DEE045404A0}"/>
            </c:ext>
          </c:extLst>
        </c:ser>
        <c:ser>
          <c:idx val="2"/>
          <c:order val="1"/>
          <c:tx>
            <c:strRef>
              <c:f>uebbneu_Factsheet_Ktn!$F$9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uebbneu_Factsheet_Ktn!$N$10:$N$28</c15:sqref>
                  </c15:fullRef>
                </c:ext>
              </c:extLst>
              <c:f>uebbneu_Factsheet_Ktn!$N$10:$N$26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uebbneu_Factsheet_Ktn!$F$10:$F$28</c15:sqref>
                  </c15:fullRef>
                </c:ext>
              </c:extLst>
              <c:f>uebbneu_Factsheet_Ktn!$F$10:$F$26</c:f>
              <c:numCache>
                <c:formatCode>#,##0</c:formatCode>
                <c:ptCount val="17"/>
                <c:pt idx="0">
                  <c:v>16</c:v>
                </c:pt>
                <c:pt idx="1">
                  <c:v>79</c:v>
                </c:pt>
                <c:pt idx="2">
                  <c:v>3</c:v>
                </c:pt>
                <c:pt idx="4">
                  <c:v>16</c:v>
                </c:pt>
                <c:pt idx="5">
                  <c:v>22</c:v>
                </c:pt>
                <c:pt idx="6">
                  <c:v>60</c:v>
                </c:pt>
                <c:pt idx="7">
                  <c:v>199</c:v>
                </c:pt>
                <c:pt idx="8">
                  <c:v>90</c:v>
                </c:pt>
                <c:pt idx="9">
                  <c:v>29</c:v>
                </c:pt>
                <c:pt idx="11">
                  <c:v>41</c:v>
                </c:pt>
                <c:pt idx="12">
                  <c:v>5</c:v>
                </c:pt>
                <c:pt idx="13">
                  <c:v>0</c:v>
                </c:pt>
                <c:pt idx="15">
                  <c:v>3</c:v>
                </c:pt>
                <c:pt idx="16">
                  <c:v>0</c:v>
                </c:pt>
              </c:numCache>
            </c:numRef>
          </c:val>
          <c:extLst>
            <c:ext xmlns:c16="http://schemas.microsoft.com/office/drawing/2014/chart" uri="{C3380CC4-5D6E-409C-BE32-E72D297353CC}">
              <c16:uniqueId val="{00000016-C8D2-4884-9A3E-8DEE045404A0}"/>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907261592302"/>
          <c:y val="0.27844492448226715"/>
          <c:w val="0.84126159230096242"/>
          <c:h val="0.67525897119081979"/>
        </c:manualLayout>
      </c:layout>
      <c:barChart>
        <c:barDir val="bar"/>
        <c:grouping val="clustered"/>
        <c:varyColors val="0"/>
        <c:ser>
          <c:idx val="0"/>
          <c:order val="0"/>
          <c:invertIfNegative val="0"/>
          <c:dLbls>
            <c:dLbl>
              <c:idx val="0"/>
              <c:tx>
                <c:strRef>
                  <c:f>uebbneu_Factsheet_Ktn!$E$60</c:f>
                  <c:strCache>
                    <c:ptCount val="1"/>
                    <c:pt idx="0">
                      <c:v>17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{0A6242E1-8E6C-407D-865F-83463B0FB389}</c15:txfldGUID>
                      <c15:f>uebbneu_Factsheet_Ktn!$E$60</c15:f>
                      <c15:dlblFieldTableCache>
                        <c:ptCount val="1"/>
                        <c:pt idx="0">
                          <c:v>17</c:v>
                        </c:pt>
                      </c15:dlblFieldTableCache>
                    </c15:dlblFTEntry>
                  </c15:dlblFieldTable>
                  <c15:showDataLabelsRange val="0"/>
                </c:ext>
                <c:ext xmlns:c16="http://schemas.microsoft.com/office/drawing/2014/chart" uri="{C3380CC4-5D6E-409C-BE32-E72D297353CC}">
                  <c16:uniqueId val="{00000000-1617-47A3-8274-76BF1D5E7496}"/>
                </c:ext>
              </c:extLst>
            </c:dLbl>
            <c:dLbl>
              <c:idx val="1"/>
              <c:tx>
                <c:strRef>
                  <c:f>uebbneu_Factsheet_Ktn!$E$61</c:f>
                  <c:strCache>
                    <c:ptCount val="1"/>
                    <c:pt idx="0">
                      <c:v>91</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{C8F67DA5-005F-4CFE-940C-6D81EA086462}</c15:txfldGUID>
                      <c15:f>uebbneu_Factsheet_Ktn!$E$61</c15:f>
                      <c15:dlblFieldTableCache>
                        <c:ptCount val="1"/>
                        <c:pt idx="0">
                          <c:v>91</c:v>
                        </c:pt>
                      </c15:dlblFieldTableCache>
                    </c15:dlblFTEntry>
                  </c15:dlblFieldTable>
                  <c15:showDataLabelsRange val="0"/>
                </c:ext>
                <c:ext xmlns:c16="http://schemas.microsoft.com/office/drawing/2014/chart" uri="{C3380CC4-5D6E-409C-BE32-E72D297353CC}">
                  <c16:uniqueId val="{00000001-1617-47A3-8274-76BF1D5E7496}"/>
                </c:ext>
              </c:extLst>
            </c:dLbl>
            <c:dLbl>
              <c:idx val="2"/>
              <c:layout>
                <c:manualLayout>
                  <c:x val="-6.6596967045785938E-2"/>
                  <c:y val="4.2562247286656737E-7"/>
                </c:manualLayout>
              </c:layout>
              <c:tx>
                <c:strRef>
                  <c:f>uebbneu_Factsheet_Ktn!$E$62</c:f>
                  <c:strCache>
                    <c:ptCount val="1"/>
                    <c:pt idx="0">
                      <c:v>12</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{6B6FE558-BF58-4162-92DB-4FF4BE17FDC3}</c15:txfldGUID>
                      <c15:f>uebbneu_Factsheet_Ktn!$E$62</c15:f>
                      <c15:dlblFieldTableCache>
                        <c:ptCount val="1"/>
                        <c:pt idx="0">
                          <c:v>12</c:v>
                        </c:pt>
                      </c15:dlblFieldTableCache>
                    </c15:dlblFTEntry>
                  </c15:dlblFieldTable>
                  <c15:showDataLabelsRange val="0"/>
                </c:ext>
                <c:ext xmlns:c16="http://schemas.microsoft.com/office/drawing/2014/chart" uri="{C3380CC4-5D6E-409C-BE32-E72D297353CC}">
                  <c16:uniqueId val="{00000002-1617-47A3-8274-76BF1D5E7496}"/>
                </c:ext>
              </c:extLst>
            </c:dLbl>
            <c:dLbl>
              <c:idx val="3"/>
              <c:layout>
                <c:manualLayout>
                  <c:x val="-3.1863364018273224E-3"/>
                  <c:y val="8.4666836010195183E-7"/>
                </c:manualLayout>
              </c:layout>
              <c:tx>
                <c:strRef>
                  <c:f>uebbneu_Factsheet_Ktn!$E$63</c:f>
                  <c:strCache>
                    <c:ptCount val="1"/>
                    <c:pt idx="0">
                      <c:v>3</c:v>
                    </c:pt>
                  </c:strCache>
                </c:strRef>
              </c:tx>
              <c:spPr>
                <a:noFill/>
                <a:ln>
                  <a:noFill/>
                </a:ln>
                <a:effectLst/>
              </c:spPr>
              <c:txPr>
                <a:bodyPr/>
                <a:lstStyle/>
                <a:p>
                  <a:pPr>
                    <a:defRPr>
                      <a:solidFill>
                        <a:sysClr val="windowText" lastClr="000000"/>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{19ACC604-2C3E-4F2F-B08C-7F534B7E3996}</c15:txfldGUID>
                      <c15:f>uebbneu_Factsheet_Ktn!$E$63</c15:f>
                      <c15:dlblFieldTableCache>
                        <c:ptCount val="1"/>
                        <c:pt idx="0">
                          <c:v>3</c:v>
                        </c:pt>
                      </c15:dlblFieldTableCache>
                    </c15:dlblFTEntry>
                  </c15:dlblFieldTable>
                  <c15:showDataLabelsRange val="0"/>
                </c:ext>
                <c:ext xmlns:c16="http://schemas.microsoft.com/office/drawing/2014/chart" uri="{C3380CC4-5D6E-409C-BE32-E72D297353CC}">
                  <c16:uniqueId val="{00000003-1617-47A3-8274-76BF1D5E7496}"/>
                </c:ext>
              </c:extLst>
            </c:dLbl>
            <c:dLbl>
              <c:idx val="4"/>
              <c:layout>
                <c:manualLayout>
                  <c:x val="-7.1541057367829021E-3"/>
                  <c:y val="1.8875800821157056E-16"/>
                </c:manualLayout>
              </c:layout>
              <c:tx>
                <c:strRef>
                  <c:f>uebbneu_Factsheet_Ktn!$E$64</c:f>
                  <c:strCache>
                    <c:ptCount val="1"/>
                    <c:pt idx="0">
                      <c:v>5</c:v>
                    </c:pt>
                  </c:strCache>
                </c:strRef>
              </c:tx>
              <c:spPr>
                <a:noFill/>
                <a:ln>
                  <a:noFill/>
                </a:ln>
                <a:effectLst/>
              </c:spPr>
              <c:txPr>
                <a:bodyPr/>
                <a:lstStyle/>
                <a:p>
                  <a:pPr>
                    <a:defRPr>
                      <a:solidFill>
                        <a:sysClr val="windowText" lastClr="000000"/>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{8DE86D1B-A043-4F56-85FD-97F2F6EBAFB9}</c15:txfldGUID>
                      <c15:f>uebbneu_Factsheet_Ktn!$E$64</c15:f>
                      <c15:dlblFieldTableCache>
                        <c:ptCount val="1"/>
                        <c:pt idx="0">
                          <c:v>5</c:v>
                        </c:pt>
                      </c15:dlblFieldTableCache>
                    </c15:dlblFTEntry>
                  </c15:dlblFieldTable>
                  <c15:showDataLabelsRange val="0"/>
                </c:ext>
                <c:ext xmlns:c16="http://schemas.microsoft.com/office/drawing/2014/chart" uri="{C3380CC4-5D6E-409C-BE32-E72D297353CC}">
                  <c16:uniqueId val="{00000004-1617-47A3-8274-76BF1D5E7496}"/>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uebbneu_Factsheet_Ktn!$D$60:$D$64</c:f>
              <c:strCache>
                <c:ptCount val="5"/>
                <c:pt idx="0">
                  <c:v>HES</c:v>
                </c:pt>
                <c:pt idx="1">
                  <c:v>PRC</c:v>
                </c:pt>
                <c:pt idx="2">
                  <c:v>REC</c:v>
                </c:pt>
                <c:pt idx="3">
                  <c:v>PUB</c:v>
                </c:pt>
                <c:pt idx="4">
                  <c:v>OTH</c:v>
                </c:pt>
              </c:strCache>
            </c:strRef>
          </c:cat>
          <c:val>
            <c:numRef>
              <c:f>uebbneu_Factsheet_Ktn!$F$60:$F$64</c:f>
              <c:numCache>
                <c:formatCode>#0"%"</c:formatCode>
                <c:ptCount val="5"/>
                <c:pt idx="0">
                  <c:v>13.28125</c:v>
                </c:pt>
                <c:pt idx="1">
                  <c:v>71.09375</c:v>
                </c:pt>
                <c:pt idx="2">
                  <c:v>9.375</c:v>
                </c:pt>
                <c:pt idx="3">
                  <c:v>2.34375</c:v>
                </c:pt>
                <c:pt idx="4">
                  <c:v>3.90625</c:v>
                </c:pt>
              </c:numCache>
            </c:numRef>
          </c:val>
          <c:extLst>
            <c:ext xmlns:c16="http://schemas.microsoft.com/office/drawing/2014/chart" uri="{C3380CC4-5D6E-409C-BE32-E72D297353CC}">
              <c16:uniqueId val="{00000005-1617-47A3-8274-76BF1D5E7496}"/>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uebbneu_Factsheet_Noe!$D$9</c:f>
              <c:strCache>
                <c:ptCount val="1"/>
                <c:pt idx="0">
                  <c:v>Verträge (Anzahl angedruckt)</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001B-4657-9485-AE800C50A662}"/>
                </c:ext>
              </c:extLst>
            </c:dLbl>
            <c:dLbl>
              <c:idx val="13"/>
              <c:delete val="1"/>
              <c:extLst>
                <c:ext xmlns:c15="http://schemas.microsoft.com/office/drawing/2012/chart" uri="{CE6537A1-D6FC-4f65-9D91-7224C49458BB}"/>
                <c:ext xmlns:c16="http://schemas.microsoft.com/office/drawing/2014/chart" uri="{C3380CC4-5D6E-409C-BE32-E72D297353CC}">
                  <c16:uniqueId val="{00000002-001B-4657-9485-AE800C50A662}"/>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uebbneu_Factsheet_Noe!$N$10:$N$28</c15:sqref>
                  </c15:fullRef>
                </c:ext>
              </c:extLst>
              <c:f>uebbneu_Factsheet_Noe!$N$10:$N$26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uebbneu_Factsheet_Noe!$D$10:$D$28</c15:sqref>
                  </c15:fullRef>
                </c:ext>
              </c:extLst>
              <c:f>uebbneu_Factsheet_Noe!$D$10:$D$26</c:f>
              <c:numCache>
                <c:formatCode>General</c:formatCode>
                <c:ptCount val="17"/>
                <c:pt idx="0">
                  <c:v>42</c:v>
                </c:pt>
                <c:pt idx="1">
                  <c:v>64</c:v>
                </c:pt>
                <c:pt idx="2">
                  <c:v>6</c:v>
                </c:pt>
                <c:pt idx="4">
                  <c:v>8</c:v>
                </c:pt>
                <c:pt idx="5">
                  <c:v>13</c:v>
                </c:pt>
                <c:pt idx="6">
                  <c:v>4</c:v>
                </c:pt>
                <c:pt idx="7">
                  <c:v>36</c:v>
                </c:pt>
                <c:pt idx="8">
                  <c:v>74</c:v>
                </c:pt>
                <c:pt idx="9">
                  <c:v>70</c:v>
                </c:pt>
                <c:pt idx="11">
                  <c:v>24</c:v>
                </c:pt>
                <c:pt idx="12">
                  <c:v>5</c:v>
                </c:pt>
                <c:pt idx="13">
                  <c:v>0</c:v>
                </c:pt>
                <c:pt idx="15">
                  <c:v>4</c:v>
                </c:pt>
                <c:pt idx="16">
                  <c:v>5</c:v>
                </c:pt>
              </c:numCache>
            </c:numRef>
          </c:val>
          <c:extLst>
            <c:ext xmlns:c16="http://schemas.microsoft.com/office/drawing/2014/chart" uri="{C3380CC4-5D6E-409C-BE32-E72D297353CC}">
              <c16:uniqueId val="{00000000-026A-434A-8952-A6991877F1BE}"/>
            </c:ext>
          </c:extLst>
        </c:ser>
        <c:ser>
          <c:idx val="2"/>
          <c:order val="1"/>
          <c:tx>
            <c:strRef>
              <c:f>uebbneu_Factsheet_Noe!$F$9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uebbneu_Factsheet_Noe!$N$10:$N$28</c15:sqref>
                  </c15:fullRef>
                </c:ext>
              </c:extLst>
              <c:f>uebbneu_Factsheet_Noe!$N$10:$N$26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uebbneu_Factsheet_Noe!$F$10:$F$28</c15:sqref>
                  </c15:fullRef>
                </c:ext>
              </c:extLst>
              <c:f>uebbneu_Factsheet_Noe!$F$10:$F$26</c:f>
              <c:numCache>
                <c:formatCode>#,##0</c:formatCode>
                <c:ptCount val="17"/>
                <c:pt idx="0">
                  <c:v>61</c:v>
                </c:pt>
                <c:pt idx="1">
                  <c:v>278</c:v>
                </c:pt>
                <c:pt idx="2">
                  <c:v>3</c:v>
                </c:pt>
                <c:pt idx="4">
                  <c:v>42</c:v>
                </c:pt>
                <c:pt idx="5">
                  <c:v>89</c:v>
                </c:pt>
                <c:pt idx="6">
                  <c:v>40</c:v>
                </c:pt>
                <c:pt idx="7">
                  <c:v>102</c:v>
                </c:pt>
                <c:pt idx="8">
                  <c:v>186</c:v>
                </c:pt>
                <c:pt idx="9">
                  <c:v>181</c:v>
                </c:pt>
                <c:pt idx="11">
                  <c:v>123</c:v>
                </c:pt>
                <c:pt idx="12">
                  <c:v>17</c:v>
                </c:pt>
                <c:pt idx="13">
                  <c:v>0</c:v>
                </c:pt>
                <c:pt idx="15">
                  <c:v>17</c:v>
                </c:pt>
                <c:pt idx="16">
                  <c:v>6</c:v>
                </c:pt>
              </c:numCache>
            </c:numRef>
          </c:val>
          <c:extLst>
            <c:ext xmlns:c16="http://schemas.microsoft.com/office/drawing/2014/chart" uri="{C3380CC4-5D6E-409C-BE32-E72D297353CC}">
              <c16:uniqueId val="{00000016-026A-434A-8952-A6991877F1BE}"/>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907261592302"/>
          <c:y val="0.27844492448226715"/>
          <c:w val="0.84126159230096242"/>
          <c:h val="0.67525897119081979"/>
        </c:manualLayout>
      </c:layout>
      <c:barChart>
        <c:barDir val="bar"/>
        <c:grouping val="clustered"/>
        <c:varyColors val="0"/>
        <c:ser>
          <c:idx val="0"/>
          <c:order val="0"/>
          <c:invertIfNegative val="0"/>
          <c:dLbls>
            <c:dLbl>
              <c:idx val="0"/>
              <c:tx>
                <c:strRef>
                  <c:f>uebbneu_Factsheet_Noe!$E$60</c:f>
                  <c:strCache>
                    <c:ptCount val="1"/>
                    <c:pt idx="0">
                      <c:v>111</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{666419AB-A821-4E4C-A049-C034078FAFA6}</c15:txfldGUID>
                      <c15:f>uebbneu_Factsheet_Noe!$E$60</c15:f>
                      <c15:dlblFieldTableCache>
                        <c:ptCount val="1"/>
                        <c:pt idx="0">
                          <c:v>111</c:v>
                        </c:pt>
                      </c15:dlblFieldTableCache>
                    </c15:dlblFTEntry>
                  </c15:dlblFieldTable>
                  <c15:showDataLabelsRange val="0"/>
                </c:ext>
                <c:ext xmlns:c16="http://schemas.microsoft.com/office/drawing/2014/chart" uri="{C3380CC4-5D6E-409C-BE32-E72D297353CC}">
                  <c16:uniqueId val="{00000000-4DDD-4831-ABE8-6FEC63E3688E}"/>
                </c:ext>
              </c:extLst>
            </c:dLbl>
            <c:dLbl>
              <c:idx val="1"/>
              <c:tx>
                <c:strRef>
                  <c:f>uebbneu_Factsheet_Noe!$E$61</c:f>
                  <c:strCache>
                    <c:ptCount val="1"/>
                    <c:pt idx="0">
                      <c:v>98</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{D396EE97-2530-4829-A2B4-50D8F0A0C37D}</c15:txfldGUID>
                      <c15:f>uebbneu_Factsheet_Noe!$E$61</c15:f>
                      <c15:dlblFieldTableCache>
                        <c:ptCount val="1"/>
                        <c:pt idx="0">
                          <c:v>98</c:v>
                        </c:pt>
                      </c15:dlblFieldTableCache>
                    </c15:dlblFTEntry>
                  </c15:dlblFieldTable>
                  <c15:showDataLabelsRange val="0"/>
                </c:ext>
                <c:ext xmlns:c16="http://schemas.microsoft.com/office/drawing/2014/chart" uri="{C3380CC4-5D6E-409C-BE32-E72D297353CC}">
                  <c16:uniqueId val="{00000001-4DDD-4831-ABE8-6FEC63E3688E}"/>
                </c:ext>
              </c:extLst>
            </c:dLbl>
            <c:dLbl>
              <c:idx val="2"/>
              <c:tx>
                <c:strRef>
                  <c:f>uebbneu_Factsheet_Noe!$E$62</c:f>
                  <c:strCache>
                    <c:ptCount val="1"/>
                    <c:pt idx="0">
                      <c:v>107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{C8D39D51-AF5C-4C0C-AE2F-56D2D55B9556}</c15:txfldGUID>
                      <c15:f>uebbneu_Factsheet_Noe!$E$62</c15:f>
                      <c15:dlblFieldTableCache>
                        <c:ptCount val="1"/>
                        <c:pt idx="0">
                          <c:v>107</c:v>
                        </c:pt>
                      </c15:dlblFieldTableCache>
                    </c15:dlblFTEntry>
                  </c15:dlblFieldTable>
                  <c15:showDataLabelsRange val="0"/>
                </c:ext>
                <c:ext xmlns:c16="http://schemas.microsoft.com/office/drawing/2014/chart" uri="{C3380CC4-5D6E-409C-BE32-E72D297353CC}">
                  <c16:uniqueId val="{00000002-4DDD-4831-ABE8-6FEC63E3688E}"/>
                </c:ext>
              </c:extLst>
            </c:dLbl>
            <c:dLbl>
              <c:idx val="3"/>
              <c:tx>
                <c:strRef>
                  <c:f>uebbneu_Factsheet_Noe!$E$63</c:f>
                  <c:strCache>
                    <c:ptCount val="1"/>
                    <c:pt idx="0">
                      <c:v>13</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{2D0FF05E-EBAC-472A-A762-CD6BB9DF5E41}</c15:txfldGUID>
                      <c15:f>uebbneu_Factsheet_Noe!$E$63</c15:f>
                      <c15:dlblFieldTableCache>
                        <c:ptCount val="1"/>
                        <c:pt idx="0">
                          <c:v>13</c:v>
                        </c:pt>
                      </c15:dlblFieldTableCache>
                    </c15:dlblFTEntry>
                  </c15:dlblFieldTable>
                  <c15:showDataLabelsRange val="0"/>
                </c:ext>
                <c:ext xmlns:c16="http://schemas.microsoft.com/office/drawing/2014/chart" uri="{C3380CC4-5D6E-409C-BE32-E72D297353CC}">
                  <c16:uniqueId val="{00000003-4DDD-4831-ABE8-6FEC63E3688E}"/>
                </c:ext>
              </c:extLst>
            </c:dLbl>
            <c:dLbl>
              <c:idx val="4"/>
              <c:tx>
                <c:strRef>
                  <c:f>uebbneu_Factsheet_Noe!$E$64</c:f>
                  <c:strCache>
                    <c:ptCount val="1"/>
                    <c:pt idx="0">
                      <c:v>26</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{8268E212-BC77-48F3-81AE-8EB32340B305}</c15:txfldGUID>
                      <c15:f>uebbneu_Factsheet_Noe!$E$64</c15:f>
                      <c15:dlblFieldTableCache>
                        <c:ptCount val="1"/>
                        <c:pt idx="0">
                          <c:v>26</c:v>
                        </c:pt>
                      </c15:dlblFieldTableCache>
                    </c15:dlblFTEntry>
                  </c15:dlblFieldTable>
                  <c15:showDataLabelsRange val="0"/>
                </c:ext>
                <c:ext xmlns:c16="http://schemas.microsoft.com/office/drawing/2014/chart" uri="{C3380CC4-5D6E-409C-BE32-E72D297353CC}">
                  <c16:uniqueId val="{00000004-4DDD-4831-ABE8-6FEC63E3688E}"/>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uebbneu_Factsheet_Noe!$D$60:$D$64</c:f>
              <c:strCache>
                <c:ptCount val="5"/>
                <c:pt idx="0">
                  <c:v>HES</c:v>
                </c:pt>
                <c:pt idx="1">
                  <c:v>PRC</c:v>
                </c:pt>
                <c:pt idx="2">
                  <c:v>REC</c:v>
                </c:pt>
                <c:pt idx="3">
                  <c:v>PUB</c:v>
                </c:pt>
                <c:pt idx="4">
                  <c:v>OTH</c:v>
                </c:pt>
              </c:strCache>
            </c:strRef>
          </c:cat>
          <c:val>
            <c:numRef>
              <c:f>uebbneu_Factsheet_Noe!$F$60:$F$64</c:f>
              <c:numCache>
                <c:formatCode>#0"%"</c:formatCode>
                <c:ptCount val="5"/>
                <c:pt idx="0">
                  <c:v>31.26760563380282</c:v>
                </c:pt>
                <c:pt idx="1">
                  <c:v>27.605633802816904</c:v>
                </c:pt>
                <c:pt idx="2">
                  <c:v>30.140845070422532</c:v>
                </c:pt>
                <c:pt idx="3">
                  <c:v>3.6619718309859155</c:v>
                </c:pt>
                <c:pt idx="4">
                  <c:v>7.323943661971831</c:v>
                </c:pt>
              </c:numCache>
            </c:numRef>
          </c:val>
          <c:extLst>
            <c:ext xmlns:c16="http://schemas.microsoft.com/office/drawing/2014/chart" uri="{C3380CC4-5D6E-409C-BE32-E72D297353CC}">
              <c16:uniqueId val="{00000005-4DDD-4831-ABE8-6FEC63E3688E}"/>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181354862287784"/>
          <c:y val="0.13761934768324424"/>
          <c:w val="0.67799634539353471"/>
          <c:h val="0.83250965354986994"/>
        </c:manualLayout>
      </c:layout>
      <c:barChart>
        <c:barDir val="bar"/>
        <c:grouping val="stacked"/>
        <c:varyColors val="0"/>
        <c:ser>
          <c:idx val="0"/>
          <c:order val="0"/>
          <c:tx>
            <c:strRef>
              <c:f>uebbneu_Factsheet_Ooe!$D$9</c:f>
              <c:strCache>
                <c:ptCount val="1"/>
                <c:pt idx="0">
                  <c:v>Verträge (Anzahl angedruckt)</c:v>
                </c:pt>
              </c:strCache>
            </c:strRef>
          </c:tx>
          <c:invertIfNegative val="0"/>
          <c:dLbls>
            <c:dLbl>
              <c:idx val="13"/>
              <c:delete val="1"/>
              <c:extLst>
                <c:ext xmlns:c15="http://schemas.microsoft.com/office/drawing/2012/chart" uri="{CE6537A1-D6FC-4f65-9D91-7224C49458BB}"/>
                <c:ext xmlns:c16="http://schemas.microsoft.com/office/drawing/2014/chart" uri="{C3380CC4-5D6E-409C-BE32-E72D297353CC}">
                  <c16:uniqueId val="{00000002-DC37-4C13-A0DC-EF54E96DEE9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uebbneu_Factsheet_Ooe!$N$10:$N$28</c15:sqref>
                  </c15:fullRef>
                </c:ext>
              </c:extLst>
              <c:f>uebbneu_Factsheet_Ooe!$N$10:$N$26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uebbneu_Factsheet_Ooe!$D$10:$D$28</c15:sqref>
                  </c15:fullRef>
                </c:ext>
              </c:extLst>
              <c:f>uebbneu_Factsheet_Ooe!$D$10:$D$26</c:f>
              <c:numCache>
                <c:formatCode>General</c:formatCode>
                <c:ptCount val="17"/>
                <c:pt idx="0">
                  <c:v>6</c:v>
                </c:pt>
                <c:pt idx="1">
                  <c:v>38</c:v>
                </c:pt>
                <c:pt idx="2">
                  <c:v>2</c:v>
                </c:pt>
                <c:pt idx="4">
                  <c:v>4</c:v>
                </c:pt>
                <c:pt idx="5">
                  <c:v>5</c:v>
                </c:pt>
                <c:pt idx="6">
                  <c:v>7</c:v>
                </c:pt>
                <c:pt idx="7">
                  <c:v>97</c:v>
                </c:pt>
                <c:pt idx="8">
                  <c:v>54</c:v>
                </c:pt>
                <c:pt idx="9">
                  <c:v>28</c:v>
                </c:pt>
                <c:pt idx="11">
                  <c:v>12</c:v>
                </c:pt>
                <c:pt idx="12">
                  <c:v>1</c:v>
                </c:pt>
                <c:pt idx="13">
                  <c:v>0</c:v>
                </c:pt>
                <c:pt idx="15">
                  <c:v>7</c:v>
                </c:pt>
                <c:pt idx="16">
                  <c:v>1</c:v>
                </c:pt>
              </c:numCache>
            </c:numRef>
          </c:val>
          <c:extLst>
            <c:ext xmlns:c16="http://schemas.microsoft.com/office/drawing/2014/chart" uri="{C3380CC4-5D6E-409C-BE32-E72D297353CC}">
              <c16:uniqueId val="{00000000-2736-4960-A6CA-7E5A6D3CEAF0}"/>
            </c:ext>
          </c:extLst>
        </c:ser>
        <c:ser>
          <c:idx val="2"/>
          <c:order val="1"/>
          <c:tx>
            <c:strRef>
              <c:f>uebbneu_Factsheet_Ooe!$F$9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uebbneu_Factsheet_Ooe!$N$10:$N$28</c15:sqref>
                  </c15:fullRef>
                </c:ext>
              </c:extLst>
              <c:f>uebbneu_Factsheet_Ooe!$N$10:$N$26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uebbneu_Factsheet_Ooe!$F$10:$F$28</c15:sqref>
                  </c15:fullRef>
                </c:ext>
              </c:extLst>
              <c:f>uebbneu_Factsheet_Ooe!$F$10:$F$26</c:f>
              <c:numCache>
                <c:formatCode>#,##0</c:formatCode>
                <c:ptCount val="17"/>
                <c:pt idx="0">
                  <c:v>31</c:v>
                </c:pt>
                <c:pt idx="1">
                  <c:v>236</c:v>
                </c:pt>
                <c:pt idx="2">
                  <c:v>0</c:v>
                </c:pt>
                <c:pt idx="4">
                  <c:v>28</c:v>
                </c:pt>
                <c:pt idx="5">
                  <c:v>82</c:v>
                </c:pt>
                <c:pt idx="6">
                  <c:v>45</c:v>
                </c:pt>
                <c:pt idx="7">
                  <c:v>456</c:v>
                </c:pt>
                <c:pt idx="8">
                  <c:v>251</c:v>
                </c:pt>
                <c:pt idx="9">
                  <c:v>95</c:v>
                </c:pt>
                <c:pt idx="11">
                  <c:v>177</c:v>
                </c:pt>
                <c:pt idx="12">
                  <c:v>4</c:v>
                </c:pt>
                <c:pt idx="13">
                  <c:v>0</c:v>
                </c:pt>
                <c:pt idx="15">
                  <c:v>33</c:v>
                </c:pt>
                <c:pt idx="16">
                  <c:v>4</c:v>
                </c:pt>
              </c:numCache>
            </c:numRef>
          </c:val>
          <c:extLst>
            <c:ext xmlns:c16="http://schemas.microsoft.com/office/drawing/2014/chart" uri="{C3380CC4-5D6E-409C-BE32-E72D297353CC}">
              <c16:uniqueId val="{00000016-2736-4960-A6CA-7E5A6D3CEAF0}"/>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907261592302"/>
          <c:y val="0.27844492448226715"/>
          <c:w val="0.84126159230096242"/>
          <c:h val="0.67525897119081979"/>
        </c:manualLayout>
      </c:layout>
      <c:barChart>
        <c:barDir val="bar"/>
        <c:grouping val="clustered"/>
        <c:varyColors val="0"/>
        <c:ser>
          <c:idx val="0"/>
          <c:order val="0"/>
          <c:invertIfNegative val="0"/>
          <c:dLbls>
            <c:dLbl>
              <c:idx val="0"/>
              <c:tx>
                <c:strRef>
                  <c:f>uebbneu_Factsheet_Ooe!$E$60</c:f>
                  <c:strCache>
                    <c:ptCount val="1"/>
                    <c:pt idx="0">
                      <c:v>48</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{CD6C2719-ABBA-4183-8B75-C9B4E63D4546}</c15:txfldGUID>
                      <c15:f>uebbneu_Factsheet_Ooe!$E$60</c15:f>
                      <c15:dlblFieldTableCache>
                        <c:ptCount val="1"/>
                        <c:pt idx="0">
                          <c:v>48</c:v>
                        </c:pt>
                      </c15:dlblFieldTableCache>
                    </c15:dlblFTEntry>
                  </c15:dlblFieldTable>
                  <c15:showDataLabelsRange val="0"/>
                </c:ext>
                <c:ext xmlns:c16="http://schemas.microsoft.com/office/drawing/2014/chart" uri="{C3380CC4-5D6E-409C-BE32-E72D297353CC}">
                  <c16:uniqueId val="{00000000-4627-415F-9F6F-8620AFEE8581}"/>
                </c:ext>
              </c:extLst>
            </c:dLbl>
            <c:dLbl>
              <c:idx val="1"/>
              <c:tx>
                <c:strRef>
                  <c:f>uebbneu_Factsheet_Ooe!$E$61</c:f>
                  <c:strCache>
                    <c:ptCount val="1"/>
                    <c:pt idx="0">
                      <c:v>117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{F6C379FD-A278-4D3E-BCFD-60A59BC36D83}</c15:txfldGUID>
                      <c15:f>uebbneu_Factsheet_Ooe!$E$61</c15:f>
                      <c15:dlblFieldTableCache>
                        <c:ptCount val="1"/>
                        <c:pt idx="0">
                          <c:v>117</c:v>
                        </c:pt>
                      </c15:dlblFieldTableCache>
                    </c15:dlblFTEntry>
                  </c15:dlblFieldTable>
                  <c15:showDataLabelsRange val="0"/>
                </c:ext>
                <c:ext xmlns:c16="http://schemas.microsoft.com/office/drawing/2014/chart" uri="{C3380CC4-5D6E-409C-BE32-E72D297353CC}">
                  <c16:uniqueId val="{00000001-4627-415F-9F6F-8620AFEE8581}"/>
                </c:ext>
              </c:extLst>
            </c:dLbl>
            <c:dLbl>
              <c:idx val="2"/>
              <c:tx>
                <c:strRef>
                  <c:f>uebbneu_Factsheet_Ooe!$E$62</c:f>
                  <c:strCache>
                    <c:ptCount val="1"/>
                    <c:pt idx="0">
                      <c:v>85</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{AEC76B53-5BC3-44E9-A9EF-764CCFE991AF}</c15:txfldGUID>
                      <c15:f>uebbneu_Factsheet_Ooe!$E$62</c15:f>
                      <c15:dlblFieldTableCache>
                        <c:ptCount val="1"/>
                        <c:pt idx="0">
                          <c:v>85</c:v>
                        </c:pt>
                      </c15:dlblFieldTableCache>
                    </c15:dlblFTEntry>
                  </c15:dlblFieldTable>
                  <c15:showDataLabelsRange val="0"/>
                </c:ext>
                <c:ext xmlns:c16="http://schemas.microsoft.com/office/drawing/2014/chart" uri="{C3380CC4-5D6E-409C-BE32-E72D297353CC}">
                  <c16:uniqueId val="{00000002-4627-415F-9F6F-8620AFEE8581}"/>
                </c:ext>
              </c:extLst>
            </c:dLbl>
            <c:dLbl>
              <c:idx val="3"/>
              <c:layout>
                <c:manualLayout>
                  <c:x val="-3.1863364018273046E-3"/>
                  <c:y val="7.6913462749188295E-7"/>
                </c:manualLayout>
              </c:layout>
              <c:tx>
                <c:strRef>
                  <c:f>uebbneu_Factsheet_Ooe!$E$63</c:f>
                  <c:strCache>
                    <c:ptCount val="1"/>
                    <c:pt idx="0">
                      <c:v>2</c:v>
                    </c:pt>
                  </c:strCache>
                </c:strRef>
              </c:tx>
              <c:spPr>
                <a:noFill/>
                <a:ln>
                  <a:noFill/>
                </a:ln>
                <a:effectLst/>
              </c:spPr>
              <c:txPr>
                <a:bodyPr/>
                <a:lstStyle/>
                <a:p>
                  <a:pPr>
                    <a:defRPr>
                      <a:solidFill>
                        <a:sysClr val="windowText" lastClr="000000"/>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{30D304F7-B131-43BF-9ED3-E4BA89427A4C}</c15:txfldGUID>
                      <c15:f>uebbneu_Factsheet_Ooe!$E$63</c15:f>
                      <c15:dlblFieldTableCache>
                        <c:ptCount val="1"/>
                        <c:pt idx="0">
                          <c:v>2</c:v>
                        </c:pt>
                      </c15:dlblFieldTableCache>
                    </c15:dlblFTEntry>
                  </c15:dlblFieldTable>
                  <c15:showDataLabelsRange val="0"/>
                </c:ext>
                <c:ext xmlns:c16="http://schemas.microsoft.com/office/drawing/2014/chart" uri="{C3380CC4-5D6E-409C-BE32-E72D297353CC}">
                  <c16:uniqueId val="{00000003-4627-415F-9F6F-8620AFEE8581}"/>
                </c:ext>
              </c:extLst>
            </c:dLbl>
            <c:dLbl>
              <c:idx val="4"/>
              <c:tx>
                <c:strRef>
                  <c:f>uebbneu_Factsheet_Ooe!$E$64</c:f>
                  <c:strCache>
                    <c:ptCount val="1"/>
                    <c:pt idx="0">
                      <c:v>10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{5B81E951-FBFB-4D66-8C0E-B2E6D1F060AB}</c15:txfldGUID>
                      <c15:f>uebbneu_Factsheet_Ooe!$E$64</c15:f>
                      <c15:dlblFieldTableCache>
                        <c:ptCount val="1"/>
                        <c:pt idx="0">
                          <c:v>10</c:v>
                        </c:pt>
                      </c15:dlblFieldTableCache>
                    </c15:dlblFTEntry>
                  </c15:dlblFieldTable>
                  <c15:showDataLabelsRange val="0"/>
                </c:ext>
                <c:ext xmlns:c16="http://schemas.microsoft.com/office/drawing/2014/chart" uri="{C3380CC4-5D6E-409C-BE32-E72D297353CC}">
                  <c16:uniqueId val="{00000004-4627-415F-9F6F-8620AFEE8581}"/>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uebbneu_Factsheet_Ooe!$D$60:$D$64</c:f>
              <c:strCache>
                <c:ptCount val="5"/>
                <c:pt idx="0">
                  <c:v>HES</c:v>
                </c:pt>
                <c:pt idx="1">
                  <c:v>PRC</c:v>
                </c:pt>
                <c:pt idx="2">
                  <c:v>REC</c:v>
                </c:pt>
                <c:pt idx="3">
                  <c:v>PUB</c:v>
                </c:pt>
                <c:pt idx="4">
                  <c:v>OTH</c:v>
                </c:pt>
              </c:strCache>
            </c:strRef>
          </c:cat>
          <c:val>
            <c:numRef>
              <c:f>uebbneu_Factsheet_Ooe!$F$60:$F$64</c:f>
              <c:numCache>
                <c:formatCode>#0"%"</c:formatCode>
                <c:ptCount val="5"/>
                <c:pt idx="0">
                  <c:v>18.320610687022899</c:v>
                </c:pt>
                <c:pt idx="1">
                  <c:v>44.656488549618324</c:v>
                </c:pt>
                <c:pt idx="2">
                  <c:v>32.44274809160305</c:v>
                </c:pt>
                <c:pt idx="3">
                  <c:v>0.76335877862595414</c:v>
                </c:pt>
                <c:pt idx="4">
                  <c:v>3.8167938931297711</c:v>
                </c:pt>
              </c:numCache>
            </c:numRef>
          </c:val>
          <c:extLst>
            <c:ext xmlns:c16="http://schemas.microsoft.com/office/drawing/2014/chart" uri="{C3380CC4-5D6E-409C-BE32-E72D297353CC}">
              <c16:uniqueId val="{00000005-4627-415F-9F6F-8620AFEE8581}"/>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uebbneu_Factsheet_Sbg!$D$9</c:f>
              <c:strCache>
                <c:ptCount val="1"/>
                <c:pt idx="0">
                  <c:v>Verträge (Anzahl angedruckt)</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E07C-4410-B2C8-C3C263647485}"/>
                </c:ext>
              </c:extLst>
            </c:dLbl>
            <c:dLbl>
              <c:idx val="6"/>
              <c:delete val="1"/>
              <c:extLst>
                <c:ext xmlns:c15="http://schemas.microsoft.com/office/drawing/2012/chart" uri="{CE6537A1-D6FC-4f65-9D91-7224C49458BB}"/>
                <c:ext xmlns:c16="http://schemas.microsoft.com/office/drawing/2014/chart" uri="{C3380CC4-5D6E-409C-BE32-E72D297353CC}">
                  <c16:uniqueId val="{00000003-E07C-4410-B2C8-C3C263647485}"/>
                </c:ext>
              </c:extLst>
            </c:dLbl>
            <c:dLbl>
              <c:idx val="12"/>
              <c:delete val="1"/>
              <c:extLst>
                <c:ext xmlns:c15="http://schemas.microsoft.com/office/drawing/2012/chart" uri="{CE6537A1-D6FC-4f65-9D91-7224C49458BB}"/>
                <c:ext xmlns:c16="http://schemas.microsoft.com/office/drawing/2014/chart" uri="{C3380CC4-5D6E-409C-BE32-E72D297353CC}">
                  <c16:uniqueId val="{00000004-E07C-4410-B2C8-C3C263647485}"/>
                </c:ext>
              </c:extLst>
            </c:dLbl>
            <c:dLbl>
              <c:idx val="13"/>
              <c:delete val="1"/>
              <c:extLst>
                <c:ext xmlns:c15="http://schemas.microsoft.com/office/drawing/2012/chart" uri="{CE6537A1-D6FC-4f65-9D91-7224C49458BB}"/>
                <c:ext xmlns:c16="http://schemas.microsoft.com/office/drawing/2014/chart" uri="{C3380CC4-5D6E-409C-BE32-E72D297353CC}">
                  <c16:uniqueId val="{00000005-E07C-4410-B2C8-C3C263647485}"/>
                </c:ext>
              </c:extLst>
            </c:dLbl>
            <c:dLbl>
              <c:idx val="15"/>
              <c:delete val="1"/>
              <c:extLst>
                <c:ext xmlns:c15="http://schemas.microsoft.com/office/drawing/2012/chart" uri="{CE6537A1-D6FC-4f65-9D91-7224C49458BB}"/>
                <c:ext xmlns:c16="http://schemas.microsoft.com/office/drawing/2014/chart" uri="{C3380CC4-5D6E-409C-BE32-E72D297353CC}">
                  <c16:uniqueId val="{00000006-E07C-4410-B2C8-C3C263647485}"/>
                </c:ext>
              </c:extLst>
            </c:dLbl>
            <c:dLbl>
              <c:idx val="16"/>
              <c:delete val="1"/>
              <c:extLst>
                <c:ext xmlns:c15="http://schemas.microsoft.com/office/drawing/2012/chart" uri="{CE6537A1-D6FC-4f65-9D91-7224C49458BB}"/>
                <c:ext xmlns:c16="http://schemas.microsoft.com/office/drawing/2014/chart" uri="{C3380CC4-5D6E-409C-BE32-E72D297353CC}">
                  <c16:uniqueId val="{00000007-E07C-4410-B2C8-C3C263647485}"/>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uebbneu_Factsheet_Sbg!$N$10:$N$28</c15:sqref>
                  </c15:fullRef>
                </c:ext>
              </c:extLst>
              <c:f>uebbneu_Factsheet_Sbg!$N$10:$N$26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uebbneu_Factsheet_Sbg!$D$10:$D$28</c15:sqref>
                  </c15:fullRef>
                </c:ext>
              </c:extLst>
              <c:f>uebbneu_Factsheet_Sbg!$D$10:$D$26</c:f>
              <c:numCache>
                <c:formatCode>General</c:formatCode>
                <c:ptCount val="17"/>
                <c:pt idx="0">
                  <c:v>5</c:v>
                </c:pt>
                <c:pt idx="1">
                  <c:v>20</c:v>
                </c:pt>
                <c:pt idx="2">
                  <c:v>0</c:v>
                </c:pt>
                <c:pt idx="4">
                  <c:v>6</c:v>
                </c:pt>
                <c:pt idx="5">
                  <c:v>8</c:v>
                </c:pt>
                <c:pt idx="6">
                  <c:v>1</c:v>
                </c:pt>
                <c:pt idx="7">
                  <c:v>16</c:v>
                </c:pt>
                <c:pt idx="8">
                  <c:v>10</c:v>
                </c:pt>
                <c:pt idx="9">
                  <c:v>4</c:v>
                </c:pt>
                <c:pt idx="11">
                  <c:v>3</c:v>
                </c:pt>
                <c:pt idx="12">
                  <c:v>0</c:v>
                </c:pt>
                <c:pt idx="13">
                  <c:v>0</c:v>
                </c:pt>
                <c:pt idx="15">
                  <c:v>0</c:v>
                </c:pt>
                <c:pt idx="16">
                  <c:v>0</c:v>
                </c:pt>
              </c:numCache>
            </c:numRef>
          </c:val>
          <c:extLst>
            <c:ext xmlns:c16="http://schemas.microsoft.com/office/drawing/2014/chart" uri="{C3380CC4-5D6E-409C-BE32-E72D297353CC}">
              <c16:uniqueId val="{00000000-5E5F-4B2B-B95A-9BCC1BDFADB1}"/>
            </c:ext>
          </c:extLst>
        </c:ser>
        <c:ser>
          <c:idx val="2"/>
          <c:order val="1"/>
          <c:tx>
            <c:strRef>
              <c:f>uebbneu_Factsheet_Sbg!$F$9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uebbneu_Factsheet_Sbg!$N$10:$N$28</c15:sqref>
                  </c15:fullRef>
                </c:ext>
              </c:extLst>
              <c:f>uebbneu_Factsheet_Sbg!$N$10:$N$26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uebbneu_Factsheet_Sbg!$F$10:$F$28</c15:sqref>
                  </c15:fullRef>
                </c:ext>
              </c:extLst>
              <c:f>uebbneu_Factsheet_Sbg!$F$10:$F$26</c:f>
              <c:numCache>
                <c:formatCode>#,##0</c:formatCode>
                <c:ptCount val="17"/>
                <c:pt idx="0">
                  <c:v>35</c:v>
                </c:pt>
                <c:pt idx="1">
                  <c:v>100</c:v>
                </c:pt>
                <c:pt idx="2">
                  <c:v>3</c:v>
                </c:pt>
                <c:pt idx="4">
                  <c:v>33</c:v>
                </c:pt>
                <c:pt idx="5">
                  <c:v>37</c:v>
                </c:pt>
                <c:pt idx="6">
                  <c:v>12</c:v>
                </c:pt>
                <c:pt idx="7">
                  <c:v>65</c:v>
                </c:pt>
                <c:pt idx="8">
                  <c:v>62</c:v>
                </c:pt>
                <c:pt idx="9">
                  <c:v>18</c:v>
                </c:pt>
                <c:pt idx="11">
                  <c:v>30</c:v>
                </c:pt>
                <c:pt idx="12">
                  <c:v>2</c:v>
                </c:pt>
                <c:pt idx="13">
                  <c:v>0</c:v>
                </c:pt>
                <c:pt idx="15">
                  <c:v>5</c:v>
                </c:pt>
                <c:pt idx="16">
                  <c:v>0</c:v>
                </c:pt>
              </c:numCache>
            </c:numRef>
          </c:val>
          <c:extLst>
            <c:ext xmlns:c16="http://schemas.microsoft.com/office/drawing/2014/chart" uri="{C3380CC4-5D6E-409C-BE32-E72D297353CC}">
              <c16:uniqueId val="{00000016-5E5F-4B2B-B95A-9BCC1BDFADB1}"/>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09507144940216"/>
          <c:y val="0.27844492448226715"/>
          <c:w val="0.81533566637503641"/>
          <c:h val="0.67525897119081979"/>
        </c:manualLayout>
      </c:layout>
      <c:barChart>
        <c:barDir val="bar"/>
        <c:grouping val="clustered"/>
        <c:varyColors val="0"/>
        <c:ser>
          <c:idx val="0"/>
          <c:order val="0"/>
          <c:invertIfNegative val="0"/>
          <c:dLbls>
            <c:dLbl>
              <c:idx val="0"/>
              <c:tx>
                <c:strRef>
                  <c:f>uebbneu_Factsheet_Sbg!$E$60</c:f>
                  <c:strCache>
                    <c:ptCount val="1"/>
                    <c:pt idx="0">
                      <c:v>44</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{38FEB38E-3680-4C21-9A81-854FD0D979E0}</c15:txfldGUID>
                      <c15:f>uebbneu_Factsheet_Sbg!$E$60</c15:f>
                      <c15:dlblFieldTableCache>
                        <c:ptCount val="1"/>
                        <c:pt idx="0">
                          <c:v>44</c:v>
                        </c:pt>
                      </c15:dlblFieldTableCache>
                    </c15:dlblFTEntry>
                  </c15:dlblFieldTable>
                  <c15:showDataLabelsRange val="0"/>
                </c:ext>
                <c:ext xmlns:c16="http://schemas.microsoft.com/office/drawing/2014/chart" uri="{C3380CC4-5D6E-409C-BE32-E72D297353CC}">
                  <c16:uniqueId val="{00000000-A2DE-4AF9-A4A2-662E33D87F2B}"/>
                </c:ext>
              </c:extLst>
            </c:dLbl>
            <c:dLbl>
              <c:idx val="1"/>
              <c:tx>
                <c:strRef>
                  <c:f>uebbneu_Factsheet_Sbg!$E$61</c:f>
                  <c:strCache>
                    <c:ptCount val="1"/>
                    <c:pt idx="0">
                      <c:v>15</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{C5DECDC2-37FD-45F4-83C5-29DE86668CA9}</c15:txfldGUID>
                      <c15:f>uebbneu_Factsheet_Sbg!$E$61</c15:f>
                      <c15:dlblFieldTableCache>
                        <c:ptCount val="1"/>
                        <c:pt idx="0">
                          <c:v>15</c:v>
                        </c:pt>
                      </c15:dlblFieldTableCache>
                    </c15:dlblFTEntry>
                  </c15:dlblFieldTable>
                  <c15:showDataLabelsRange val="0"/>
                </c:ext>
                <c:ext xmlns:c16="http://schemas.microsoft.com/office/drawing/2014/chart" uri="{C3380CC4-5D6E-409C-BE32-E72D297353CC}">
                  <c16:uniqueId val="{00000001-A2DE-4AF9-A4A2-662E33D87F2B}"/>
                </c:ext>
              </c:extLst>
            </c:dLbl>
            <c:dLbl>
              <c:idx val="2"/>
              <c:tx>
                <c:strRef>
                  <c:f>uebbneu_Factsheet_Sbg!$E$62</c:f>
                  <c:strCache>
                    <c:ptCount val="1"/>
                    <c:pt idx="0">
                      <c:v>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{9EDC60CF-503F-4665-A4E6-671F1AF093AA}</c15:txfldGUID>
                      <c15:f>uebbneu_Factsheet_Sbg!$E$62</c15:f>
                      <c15:dlblFieldTableCache>
                        <c:ptCount val="1"/>
                        <c:pt idx="0">
                          <c:v>7</c:v>
                        </c:pt>
                      </c15:dlblFieldTableCache>
                    </c15:dlblFTEntry>
                  </c15:dlblFieldTable>
                  <c15:showDataLabelsRange val="0"/>
                </c:ext>
                <c:ext xmlns:c16="http://schemas.microsoft.com/office/drawing/2014/chart" uri="{C3380CC4-5D6E-409C-BE32-E72D297353CC}">
                  <c16:uniqueId val="{00000002-A2DE-4AF9-A4A2-662E33D87F2B}"/>
                </c:ext>
              </c:extLst>
            </c:dLbl>
            <c:dLbl>
              <c:idx val="3"/>
              <c:layout>
                <c:manualLayout>
                  <c:x val="-5.7608105109310331E-2"/>
                  <c:y val="8.1070947212679498E-7"/>
                </c:manualLayout>
              </c:layout>
              <c:tx>
                <c:strRef>
                  <c:f>uebbneu_Factsheet_Sbg!$E$63</c:f>
                  <c:strCache>
                    <c:ptCount val="1"/>
                    <c:pt idx="0">
                      <c:v>3</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{35960D72-1581-45D8-8BC6-49ED3A4840B2}</c15:txfldGUID>
                      <c15:f>uebbneu_Factsheet_Sbg!$E$63</c15:f>
                      <c15:dlblFieldTableCache>
                        <c:ptCount val="1"/>
                        <c:pt idx="0">
                          <c:v>3</c:v>
                        </c:pt>
                      </c15:dlblFieldTableCache>
                    </c15:dlblFTEntry>
                  </c15:dlblFieldTable>
                  <c15:showDataLabelsRange val="0"/>
                </c:ext>
                <c:ext xmlns:c16="http://schemas.microsoft.com/office/drawing/2014/chart" uri="{C3380CC4-5D6E-409C-BE32-E72D297353CC}">
                  <c16:uniqueId val="{00000003-A2DE-4AF9-A4A2-662E33D87F2B}"/>
                </c:ext>
              </c:extLst>
            </c:dLbl>
            <c:dLbl>
              <c:idx val="4"/>
              <c:tx>
                <c:strRef>
                  <c:f>uebbneu_Factsheet_Sbg!$E$64</c:f>
                  <c:strCache>
                    <c:ptCount val="1"/>
                    <c:pt idx="0">
                      <c:v>4</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{8304AD3F-2D07-405A-83F1-EBA6057820AF}</c15:txfldGUID>
                      <c15:f>uebbneu_Factsheet_Sbg!$E$64</c15:f>
                      <c15:dlblFieldTableCache>
                        <c:ptCount val="1"/>
                        <c:pt idx="0">
                          <c:v>4</c:v>
                        </c:pt>
                      </c15:dlblFieldTableCache>
                    </c15:dlblFTEntry>
                  </c15:dlblFieldTable>
                  <c15:showDataLabelsRange val="0"/>
                </c:ext>
                <c:ext xmlns:c16="http://schemas.microsoft.com/office/drawing/2014/chart" uri="{C3380CC4-5D6E-409C-BE32-E72D297353CC}">
                  <c16:uniqueId val="{00000004-A2DE-4AF9-A4A2-662E33D87F2B}"/>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uebbneu_Factsheet_Sbg!$D$60:$D$64</c:f>
              <c:strCache>
                <c:ptCount val="5"/>
                <c:pt idx="0">
                  <c:v>HES</c:v>
                </c:pt>
                <c:pt idx="1">
                  <c:v>PRC</c:v>
                </c:pt>
                <c:pt idx="2">
                  <c:v>REC</c:v>
                </c:pt>
                <c:pt idx="3">
                  <c:v>PUB</c:v>
                </c:pt>
                <c:pt idx="4">
                  <c:v>OTH</c:v>
                </c:pt>
              </c:strCache>
            </c:strRef>
          </c:cat>
          <c:val>
            <c:numRef>
              <c:f>uebbneu_Factsheet_Sbg!$F$60:$F$64</c:f>
              <c:numCache>
                <c:formatCode>#0"%"</c:formatCode>
                <c:ptCount val="5"/>
                <c:pt idx="0">
                  <c:v>60.273972602739725</c:v>
                </c:pt>
                <c:pt idx="1">
                  <c:v>20.547945205479451</c:v>
                </c:pt>
                <c:pt idx="2">
                  <c:v>9.5890410958904102</c:v>
                </c:pt>
                <c:pt idx="3">
                  <c:v>4.10958904109589</c:v>
                </c:pt>
                <c:pt idx="4">
                  <c:v>5.4794520547945202</c:v>
                </c:pt>
              </c:numCache>
            </c:numRef>
          </c:val>
          <c:extLst>
            <c:ext xmlns:c16="http://schemas.microsoft.com/office/drawing/2014/chart" uri="{C3380CC4-5D6E-409C-BE32-E72D297353CC}">
              <c16:uniqueId val="{00000005-A2DE-4AF9-A4A2-662E33D87F2B}"/>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uebbneu_Factsheet_Stmk!$D$9</c:f>
              <c:strCache>
                <c:ptCount val="1"/>
                <c:pt idx="0">
                  <c:v>Verträge (Anzahl angedruckt)</c:v>
                </c:pt>
              </c:strCache>
            </c:strRef>
          </c:tx>
          <c:invertIfNegative val="0"/>
          <c:dLbls>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D-4AAF-9DB0-83ADB0CAFDB6}"/>
                </c:ext>
              </c:extLst>
            </c:dLbl>
            <c:dLbl>
              <c:idx val="13"/>
              <c:delete val="1"/>
              <c:extLst>
                <c:ext xmlns:c15="http://schemas.microsoft.com/office/drawing/2012/chart" uri="{CE6537A1-D6FC-4f65-9D91-7224C49458BB}"/>
                <c:ext xmlns:c16="http://schemas.microsoft.com/office/drawing/2014/chart" uri="{C3380CC4-5D6E-409C-BE32-E72D297353CC}">
                  <c16:uniqueId val="{00000003-10DD-4AAF-9DB0-83ADB0CAFDB6}"/>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uebbneu_Factsheet_Stmk!$N$10:$N$28</c15:sqref>
                  </c15:fullRef>
                </c:ext>
              </c:extLst>
              <c:f>uebbneu_Factsheet_Stmk!$N$10:$N$26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uebbneu_Factsheet_Stmk!$D$10:$D$28</c15:sqref>
                  </c15:fullRef>
                </c:ext>
              </c:extLst>
              <c:f>uebbneu_Factsheet_Stmk!$D$10:$D$26</c:f>
              <c:numCache>
                <c:formatCode>General</c:formatCode>
                <c:ptCount val="17"/>
                <c:pt idx="0">
                  <c:v>37</c:v>
                </c:pt>
                <c:pt idx="1">
                  <c:v>136</c:v>
                </c:pt>
                <c:pt idx="2">
                  <c:v>41</c:v>
                </c:pt>
                <c:pt idx="4">
                  <c:v>42</c:v>
                </c:pt>
                <c:pt idx="5">
                  <c:v>10</c:v>
                </c:pt>
                <c:pt idx="6">
                  <c:v>12</c:v>
                </c:pt>
                <c:pt idx="7">
                  <c:v>211</c:v>
                </c:pt>
                <c:pt idx="8">
                  <c:v>196</c:v>
                </c:pt>
                <c:pt idx="9">
                  <c:v>51</c:v>
                </c:pt>
                <c:pt idx="11">
                  <c:v>37</c:v>
                </c:pt>
                <c:pt idx="12">
                  <c:v>3</c:v>
                </c:pt>
                <c:pt idx="13">
                  <c:v>0</c:v>
                </c:pt>
                <c:pt idx="15">
                  <c:v>14</c:v>
                </c:pt>
                <c:pt idx="16">
                  <c:v>7</c:v>
                </c:pt>
              </c:numCache>
            </c:numRef>
          </c:val>
          <c:extLst>
            <c:ext xmlns:c16="http://schemas.microsoft.com/office/drawing/2014/chart" uri="{C3380CC4-5D6E-409C-BE32-E72D297353CC}">
              <c16:uniqueId val="{00000000-C282-4990-9812-22667B6B7036}"/>
            </c:ext>
          </c:extLst>
        </c:ser>
        <c:ser>
          <c:idx val="2"/>
          <c:order val="1"/>
          <c:tx>
            <c:strRef>
              <c:f>uebbneu_Factsheet_Stmk!$F$9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uebbneu_Factsheet_Stmk!$N$10:$N$28</c15:sqref>
                  </c15:fullRef>
                </c:ext>
              </c:extLst>
              <c:f>uebbneu_Factsheet_Stmk!$N$10:$N$26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uebbneu_Factsheet_Stmk!$F$10:$F$28</c15:sqref>
                  </c15:fullRef>
                </c:ext>
              </c:extLst>
              <c:f>uebbneu_Factsheet_Stmk!$F$10:$F$26</c:f>
              <c:numCache>
                <c:formatCode>#,##0</c:formatCode>
                <c:ptCount val="17"/>
                <c:pt idx="0">
                  <c:v>149</c:v>
                </c:pt>
                <c:pt idx="1">
                  <c:v>690</c:v>
                </c:pt>
                <c:pt idx="2">
                  <c:v>36</c:v>
                </c:pt>
                <c:pt idx="4">
                  <c:v>177</c:v>
                </c:pt>
                <c:pt idx="5">
                  <c:v>128</c:v>
                </c:pt>
                <c:pt idx="6">
                  <c:v>113</c:v>
                </c:pt>
                <c:pt idx="7">
                  <c:v>748</c:v>
                </c:pt>
                <c:pt idx="8">
                  <c:v>716</c:v>
                </c:pt>
                <c:pt idx="9">
                  <c:v>186</c:v>
                </c:pt>
                <c:pt idx="11">
                  <c:v>372</c:v>
                </c:pt>
                <c:pt idx="12">
                  <c:v>26</c:v>
                </c:pt>
                <c:pt idx="13">
                  <c:v>0</c:v>
                </c:pt>
                <c:pt idx="15">
                  <c:v>49</c:v>
                </c:pt>
                <c:pt idx="16">
                  <c:v>22</c:v>
                </c:pt>
              </c:numCache>
            </c:numRef>
          </c:val>
          <c:extLst>
            <c:ext xmlns:c16="http://schemas.microsoft.com/office/drawing/2014/chart" uri="{C3380CC4-5D6E-409C-BE32-E72D297353CC}">
              <c16:uniqueId val="{00000016-C282-4990-9812-22667B6B7036}"/>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doughnutChart>
        <c:varyColors val="1"/>
        <c:ser>
          <c:idx val="0"/>
          <c:order val="0"/>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95E7-43F6-B615-4043C2F98CD4}"/>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19DC-429E-8E3C-B9C405E54EF5}"/>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extLst>
                <c:ext xmlns:c16="http://schemas.microsoft.com/office/drawing/2014/chart" uri="{C3380CC4-5D6E-409C-BE32-E72D297353CC}">
                  <c16:uniqueId val="{00000001-95E7-43F6-B615-4043C2F98CD4}"/>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'002_Verteilung_Budget'!$H$71:$H$72</c:f>
              <c:strCache>
                <c:ptCount val="2"/>
                <c:pt idx="0">
                  <c:v>dokumentiert</c:v>
                </c:pt>
                <c:pt idx="1">
                  <c:v>noch nicht dokumentiert</c:v>
                </c:pt>
              </c:strCache>
            </c:strRef>
          </c:cat>
          <c:val>
            <c:numRef>
              <c:f>'002_Verteilung_Budget'!$I$71:$I$72</c:f>
              <c:numCache>
                <c:formatCode>0%</c:formatCode>
                <c:ptCount val="2"/>
                <c:pt idx="0">
                  <c:v>0.61032052283426308</c:v>
                </c:pt>
                <c:pt idx="1">
                  <c:v>0.38967947716573692</c:v>
                </c:pt>
              </c:numCache>
            </c:numRef>
          </c:val>
          <c:extLst>
            <c:ext xmlns:c16="http://schemas.microsoft.com/office/drawing/2014/chart" uri="{C3380CC4-5D6E-409C-BE32-E72D297353CC}">
              <c16:uniqueId val="{00000000-95E7-43F6-B615-4043C2F98CD4}"/>
            </c:ext>
          </c:extLst>
        </c:ser>
        <c:dLbls>
          <c:showLegendKey val="0"/>
          <c:showVal val="0"/>
          <c:showCatName val="0"/>
          <c:showSerName val="0"/>
          <c:showPercent val="1"/>
          <c:showBubbleSize val="0"/>
          <c:showLeaderLines val="1"/>
        </c:dLbls>
        <c:firstSliceAng val="294"/>
        <c:holeSize val="3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8396033829105"/>
          <c:y val="0.27844492448226715"/>
          <c:w val="0.82644677748614748"/>
          <c:h val="0.67525897119081979"/>
        </c:manualLayout>
      </c:layout>
      <c:barChart>
        <c:barDir val="bar"/>
        <c:grouping val="clustered"/>
        <c:varyColors val="0"/>
        <c:ser>
          <c:idx val="0"/>
          <c:order val="0"/>
          <c:invertIfNegative val="0"/>
          <c:dLbls>
            <c:dLbl>
              <c:idx val="0"/>
              <c:tx>
                <c:strRef>
                  <c:f>uebbneu_Factsheet_Stmk!$E$60</c:f>
                  <c:strCache>
                    <c:ptCount val="1"/>
                    <c:pt idx="0">
                      <c:v>267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{9C908501-2C21-47C3-AEBB-9CAC12C3D939}</c15:txfldGUID>
                      <c15:f>uebbneu_Factsheet_Stmk!$E$60</c15:f>
                      <c15:dlblFieldTableCache>
                        <c:ptCount val="1"/>
                        <c:pt idx="0">
                          <c:v>267</c:v>
                        </c:pt>
                      </c15:dlblFieldTableCache>
                    </c15:dlblFTEntry>
                  </c15:dlblFieldTable>
                  <c15:showDataLabelsRange val="0"/>
                </c:ext>
                <c:ext xmlns:c16="http://schemas.microsoft.com/office/drawing/2014/chart" uri="{C3380CC4-5D6E-409C-BE32-E72D297353CC}">
                  <c16:uniqueId val="{00000000-9668-4848-911A-2C74359C9705}"/>
                </c:ext>
              </c:extLst>
            </c:dLbl>
            <c:dLbl>
              <c:idx val="1"/>
              <c:tx>
                <c:strRef>
                  <c:f>uebbneu_Factsheet_Stmk!$E$61</c:f>
                  <c:strCache>
                    <c:ptCount val="1"/>
                    <c:pt idx="0">
                      <c:v>240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{68583B3F-B1B5-436B-A221-4DFC231242A7}</c15:txfldGUID>
                      <c15:f>uebbneu_Factsheet_Stmk!$E$61</c15:f>
                      <c15:dlblFieldTableCache>
                        <c:ptCount val="1"/>
                        <c:pt idx="0">
                          <c:v>240</c:v>
                        </c:pt>
                      </c15:dlblFieldTableCache>
                    </c15:dlblFTEntry>
                  </c15:dlblFieldTable>
                  <c15:showDataLabelsRange val="0"/>
                </c:ext>
                <c:ext xmlns:c16="http://schemas.microsoft.com/office/drawing/2014/chart" uri="{C3380CC4-5D6E-409C-BE32-E72D297353CC}">
                  <c16:uniqueId val="{00000001-9668-4848-911A-2C74359C9705}"/>
                </c:ext>
              </c:extLst>
            </c:dLbl>
            <c:dLbl>
              <c:idx val="2"/>
              <c:tx>
                <c:strRef>
                  <c:f>uebbneu_Factsheet_Stmk!$E$62</c:f>
                  <c:strCache>
                    <c:ptCount val="1"/>
                    <c:pt idx="0">
                      <c:v>267</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{D4EE0F7C-A9A5-464E-BC2A-D9EA996D1C16}</c15:txfldGUID>
                      <c15:f>uebbneu_Factsheet_Stmk!$E$62</c15:f>
                      <c15:dlblFieldTableCache>
                        <c:ptCount val="1"/>
                        <c:pt idx="0">
                          <c:v>267</c:v>
                        </c:pt>
                      </c15:dlblFieldTableCache>
                    </c15:dlblFTEntry>
                  </c15:dlblFieldTable>
                  <c15:showDataLabelsRange val="0"/>
                </c:ext>
                <c:ext xmlns:c16="http://schemas.microsoft.com/office/drawing/2014/chart" uri="{C3380CC4-5D6E-409C-BE32-E72D297353CC}">
                  <c16:uniqueId val="{00000002-9668-4848-911A-2C74359C9705}"/>
                </c:ext>
              </c:extLst>
            </c:dLbl>
            <c:dLbl>
              <c:idx val="3"/>
              <c:layout>
                <c:manualLayout>
                  <c:x val="-3.1863364018273406E-3"/>
                  <c:y val="8.1070947212679498E-7"/>
                </c:manualLayout>
              </c:layout>
              <c:tx>
                <c:strRef>
                  <c:f>uebbneu_Factsheet_Stmk!$E$63</c:f>
                  <c:strCache>
                    <c:ptCount val="1"/>
                    <c:pt idx="0">
                      <c:v>9</c:v>
                    </c:pt>
                  </c:strCache>
                </c:strRef>
              </c:tx>
              <c:spPr>
                <a:noFill/>
                <a:ln>
                  <a:noFill/>
                </a:ln>
                <a:effectLst/>
              </c:spPr>
              <c:txPr>
                <a:bodyPr/>
                <a:lstStyle/>
                <a:p>
                  <a:pPr>
                    <a:defRPr>
                      <a:solidFill>
                        <a:sysClr val="windowText" lastClr="000000"/>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{3BF79687-AE95-4956-A50B-80A1E3DC18A8}</c15:txfldGUID>
                      <c15:f>uebbneu_Factsheet_Stmk!$E$63</c15:f>
                      <c15:dlblFieldTableCache>
                        <c:ptCount val="1"/>
                        <c:pt idx="0">
                          <c:v>9</c:v>
                        </c:pt>
                      </c15:dlblFieldTableCache>
                    </c15:dlblFTEntry>
                  </c15:dlblFieldTable>
                  <c15:showDataLabelsRange val="0"/>
                </c:ext>
                <c:ext xmlns:c16="http://schemas.microsoft.com/office/drawing/2014/chart" uri="{C3380CC4-5D6E-409C-BE32-E72D297353CC}">
                  <c16:uniqueId val="{00000003-9668-4848-911A-2C74359C9705}"/>
                </c:ext>
              </c:extLst>
            </c:dLbl>
            <c:dLbl>
              <c:idx val="4"/>
              <c:layout>
                <c:manualLayout>
                  <c:x val="-1.0059456853607585E-2"/>
                  <c:y val="1.8875800821157056E-16"/>
                </c:manualLayout>
              </c:layout>
              <c:tx>
                <c:strRef>
                  <c:f>uebbneu_Factsheet_Stmk!$E$64</c:f>
                  <c:strCache>
                    <c:ptCount val="1"/>
                    <c:pt idx="0">
                      <c:v>14</c:v>
                    </c:pt>
                  </c:strCache>
                </c:strRef>
              </c:tx>
              <c:spPr>
                <a:noFill/>
                <a:ln>
                  <a:noFill/>
                </a:ln>
                <a:effectLst/>
              </c:spPr>
              <c:txPr>
                <a:bodyPr/>
                <a:lstStyle/>
                <a:p>
                  <a:pPr>
                    <a:defRPr>
                      <a:solidFill>
                        <a:sysClr val="windowText" lastClr="000000"/>
                      </a:solidFill>
                    </a:defRPr>
                  </a:pPr>
                  <a:endParaRPr lang="de-DE"/>
                </a:p>
              </c:txPr>
              <c:dLblPos val="outEnd"/>
              <c:showLegendKey val="0"/>
              <c:showVal val="1"/>
              <c:showCatName val="0"/>
              <c:showSerName val="0"/>
              <c:showPercent val="0"/>
              <c:showBubbleSize val="0"/>
              <c:extLst>
                <c:ext xmlns:c15="http://schemas.microsoft.com/office/drawing/2012/chart" uri="{CE6537A1-D6FC-4f65-9D91-7224C49458BB}">
                  <c15:dlblFieldTable>
                    <c15:dlblFTEntry>
                      <c15:txfldGUID>{431BA661-5A40-415C-B6FA-D6D8BAECD7D9}</c15:txfldGUID>
                      <c15:f>uebbneu_Factsheet_Stmk!$E$64</c15:f>
                      <c15:dlblFieldTableCache>
                        <c:ptCount val="1"/>
                        <c:pt idx="0">
                          <c:v>14</c:v>
                        </c:pt>
                      </c15:dlblFieldTableCache>
                    </c15:dlblFTEntry>
                  </c15:dlblFieldTable>
                  <c15:showDataLabelsRange val="0"/>
                </c:ext>
                <c:ext xmlns:c16="http://schemas.microsoft.com/office/drawing/2014/chart" uri="{C3380CC4-5D6E-409C-BE32-E72D297353CC}">
                  <c16:uniqueId val="{00000004-9668-4848-911A-2C74359C9705}"/>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uebbneu_Factsheet_Stmk!$D$60:$D$64</c:f>
              <c:strCache>
                <c:ptCount val="5"/>
                <c:pt idx="0">
                  <c:v>HES</c:v>
                </c:pt>
                <c:pt idx="1">
                  <c:v>PRC</c:v>
                </c:pt>
                <c:pt idx="2">
                  <c:v>REC</c:v>
                </c:pt>
                <c:pt idx="3">
                  <c:v>PUB</c:v>
                </c:pt>
                <c:pt idx="4">
                  <c:v>OTH</c:v>
                </c:pt>
              </c:strCache>
            </c:strRef>
          </c:cat>
          <c:val>
            <c:numRef>
              <c:f>uebbneu_Factsheet_Stmk!$F$60:$F$64</c:f>
              <c:numCache>
                <c:formatCode>#0"%"</c:formatCode>
                <c:ptCount val="5"/>
                <c:pt idx="0">
                  <c:v>33.500627352572145</c:v>
                </c:pt>
                <c:pt idx="1">
                  <c:v>30.112923462986195</c:v>
                </c:pt>
                <c:pt idx="2">
                  <c:v>33.500627352572145</c:v>
                </c:pt>
                <c:pt idx="3">
                  <c:v>1.1292346298619824</c:v>
                </c:pt>
                <c:pt idx="4">
                  <c:v>1.7565872020075282</c:v>
                </c:pt>
              </c:numCache>
            </c:numRef>
          </c:val>
          <c:extLst>
            <c:ext xmlns:c16="http://schemas.microsoft.com/office/drawing/2014/chart" uri="{C3380CC4-5D6E-409C-BE32-E72D297353CC}">
              <c16:uniqueId val="{00000005-9668-4848-911A-2C74359C9705}"/>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uebbneu_Factsheet_T!$D$9</c:f>
              <c:strCache>
                <c:ptCount val="1"/>
                <c:pt idx="0">
                  <c:v>Verträge (Anzahl angedruckt)</c:v>
                </c:pt>
              </c:strCache>
            </c:strRef>
          </c:tx>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2-234B-48B8-AE7C-6D95199E227E}"/>
                </c:ext>
              </c:extLst>
            </c:dLbl>
            <c:dLbl>
              <c:idx val="13"/>
              <c:delete val="1"/>
              <c:extLst>
                <c:ext xmlns:c15="http://schemas.microsoft.com/office/drawing/2012/chart" uri="{CE6537A1-D6FC-4f65-9D91-7224C49458BB}"/>
                <c:ext xmlns:c16="http://schemas.microsoft.com/office/drawing/2014/chart" uri="{C3380CC4-5D6E-409C-BE32-E72D297353CC}">
                  <c16:uniqueId val="{00000003-234B-48B8-AE7C-6D95199E227E}"/>
                </c:ext>
              </c:extLst>
            </c:dLbl>
            <c:dLbl>
              <c:idx val="15"/>
              <c:delete val="1"/>
              <c:extLst>
                <c:ext xmlns:c15="http://schemas.microsoft.com/office/drawing/2012/chart" uri="{CE6537A1-D6FC-4f65-9D91-7224C49458BB}"/>
                <c:ext xmlns:c16="http://schemas.microsoft.com/office/drawing/2014/chart" uri="{C3380CC4-5D6E-409C-BE32-E72D297353CC}">
                  <c16:uniqueId val="{00000004-234B-48B8-AE7C-6D95199E227E}"/>
                </c:ext>
              </c:extLst>
            </c:dLbl>
            <c:dLbl>
              <c:idx val="16"/>
              <c:delete val="1"/>
              <c:extLst>
                <c:ext xmlns:c15="http://schemas.microsoft.com/office/drawing/2012/chart" uri="{CE6537A1-D6FC-4f65-9D91-7224C49458BB}"/>
                <c:ext xmlns:c16="http://schemas.microsoft.com/office/drawing/2014/chart" uri="{C3380CC4-5D6E-409C-BE32-E72D297353CC}">
                  <c16:uniqueId val="{00000005-234B-48B8-AE7C-6D95199E227E}"/>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uebbneu_Factsheet_T!$N$10:$N$28</c15:sqref>
                  </c15:fullRef>
                </c:ext>
              </c:extLst>
              <c:f>uebbneu_Factsheet_T!$N$10:$N$26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uebbneu_Factsheet_T!$D$10:$D$28</c15:sqref>
                  </c15:fullRef>
                </c:ext>
              </c:extLst>
              <c:f>uebbneu_Factsheet_T!$D$10:$D$26</c:f>
              <c:numCache>
                <c:formatCode>General</c:formatCode>
                <c:ptCount val="17"/>
                <c:pt idx="0">
                  <c:v>22</c:v>
                </c:pt>
                <c:pt idx="1">
                  <c:v>52</c:v>
                </c:pt>
                <c:pt idx="2">
                  <c:v>5</c:v>
                </c:pt>
                <c:pt idx="4">
                  <c:v>19</c:v>
                </c:pt>
                <c:pt idx="5">
                  <c:v>7</c:v>
                </c:pt>
                <c:pt idx="6">
                  <c:v>5</c:v>
                </c:pt>
                <c:pt idx="7">
                  <c:v>49</c:v>
                </c:pt>
                <c:pt idx="8">
                  <c:v>34</c:v>
                </c:pt>
                <c:pt idx="9">
                  <c:v>10</c:v>
                </c:pt>
                <c:pt idx="11">
                  <c:v>8</c:v>
                </c:pt>
                <c:pt idx="12">
                  <c:v>0</c:v>
                </c:pt>
                <c:pt idx="13">
                  <c:v>0</c:v>
                </c:pt>
                <c:pt idx="15">
                  <c:v>1</c:v>
                </c:pt>
                <c:pt idx="16">
                  <c:v>0</c:v>
                </c:pt>
              </c:numCache>
            </c:numRef>
          </c:val>
          <c:extLst>
            <c:ext xmlns:c16="http://schemas.microsoft.com/office/drawing/2014/chart" uri="{C3380CC4-5D6E-409C-BE32-E72D297353CC}">
              <c16:uniqueId val="{00000000-4C1C-4FEA-8245-16E3E7113804}"/>
            </c:ext>
          </c:extLst>
        </c:ser>
        <c:ser>
          <c:idx val="2"/>
          <c:order val="1"/>
          <c:tx>
            <c:strRef>
              <c:f>uebbneu_Factsheet_T!$F$9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uebbneu_Factsheet_T!$N$10:$N$28</c15:sqref>
                  </c15:fullRef>
                </c:ext>
              </c:extLst>
              <c:f>uebbneu_Factsheet_T!$N$10:$N$26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uebbneu_Factsheet_T!$F$10:$F$28</c15:sqref>
                  </c15:fullRef>
                </c:ext>
              </c:extLst>
              <c:f>uebbneu_Factsheet_T!$F$10:$F$26</c:f>
              <c:numCache>
                <c:formatCode>#,##0</c:formatCode>
                <c:ptCount val="17"/>
                <c:pt idx="0">
                  <c:v>76</c:v>
                </c:pt>
                <c:pt idx="1">
                  <c:v>263</c:v>
                </c:pt>
                <c:pt idx="2">
                  <c:v>7</c:v>
                </c:pt>
                <c:pt idx="4">
                  <c:v>76</c:v>
                </c:pt>
                <c:pt idx="5">
                  <c:v>40</c:v>
                </c:pt>
                <c:pt idx="6">
                  <c:v>18</c:v>
                </c:pt>
                <c:pt idx="7">
                  <c:v>84</c:v>
                </c:pt>
                <c:pt idx="8">
                  <c:v>117</c:v>
                </c:pt>
                <c:pt idx="9">
                  <c:v>63</c:v>
                </c:pt>
                <c:pt idx="11">
                  <c:v>94</c:v>
                </c:pt>
                <c:pt idx="12">
                  <c:v>3</c:v>
                </c:pt>
                <c:pt idx="13">
                  <c:v>0</c:v>
                </c:pt>
                <c:pt idx="15">
                  <c:v>17</c:v>
                </c:pt>
                <c:pt idx="16">
                  <c:v>4</c:v>
                </c:pt>
              </c:numCache>
            </c:numRef>
          </c:val>
          <c:extLst>
            <c:ext xmlns:c16="http://schemas.microsoft.com/office/drawing/2014/chart" uri="{C3380CC4-5D6E-409C-BE32-E72D297353CC}">
              <c16:uniqueId val="{00000016-4C1C-4FEA-8245-16E3E7113804}"/>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9877515310584"/>
          <c:y val="0.27844492448226715"/>
          <c:w val="0.81163196267133275"/>
          <c:h val="0.67525897119081979"/>
        </c:manualLayout>
      </c:layout>
      <c:barChart>
        <c:barDir val="bar"/>
        <c:grouping val="clustered"/>
        <c:varyColors val="0"/>
        <c:ser>
          <c:idx val="0"/>
          <c:order val="0"/>
          <c:invertIfNegative val="0"/>
          <c:dLbls>
            <c:dLbl>
              <c:idx val="0"/>
              <c:layout>
                <c:manualLayout>
                  <c:x val="-8.1632653061224636E-2"/>
                  <c:y val="0"/>
                </c:manualLayout>
              </c:layout>
              <c:tx>
                <c:rich>
                  <a:bodyPr wrap="square" lIns="38100" tIns="19050" rIns="38100" bIns="19050" anchor="ctr">
                    <a:spAutoFit/>
                  </a:bodyPr>
                  <a:lstStyle/>
                  <a:p>
                    <a:pPr>
                      <a:defRPr>
                        <a:solidFill>
                          <a:schemeClr val="bg1"/>
                        </a:solidFill>
                      </a:defRPr>
                    </a:pPr>
                    <a:fld id="{126C4FAC-CC63-45C8-BBA2-F4A35634DAD3}" type="CELLRANGE">
                      <a:rPr lang="en-US">
                        <a:solidFill>
                          <a:schemeClr val="bg1"/>
                        </a:solidFill>
                      </a:rPr>
                      <a:pPr>
                        <a:defRPr>
                          <a:solidFill>
                            <a:schemeClr val="bg1"/>
                          </a:solidFill>
                        </a:defRPr>
                      </a:pPr>
                      <a:t>[ZELLBEREICH]</a:t>
                    </a:fld>
                    <a:endParaRPr lang="de-DE"/>
                  </a:p>
                </c:rich>
              </c:tx>
              <c:spPr>
                <a:noFill/>
                <a:ln>
                  <a:noFill/>
                </a:ln>
                <a:effectLst/>
              </c:spPr>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DBD-41DE-B869-EC781C870E93}"/>
                </c:ext>
              </c:extLst>
            </c:dLbl>
            <c:dLbl>
              <c:idx val="1"/>
              <c:layout>
                <c:manualLayout>
                  <c:x val="-7.7745383867832848E-2"/>
                  <c:y val="0"/>
                </c:manualLayout>
              </c:layout>
              <c:tx>
                <c:rich>
                  <a:bodyPr wrap="square" lIns="38100" tIns="19050" rIns="38100" bIns="19050" anchor="ctr">
                    <a:spAutoFit/>
                  </a:bodyPr>
                  <a:lstStyle/>
                  <a:p>
                    <a:pPr>
                      <a:defRPr>
                        <a:solidFill>
                          <a:schemeClr val="bg1"/>
                        </a:solidFill>
                      </a:defRPr>
                    </a:pPr>
                    <a:fld id="{55C2A16F-81AE-4D54-89E0-EF9F12AA4396}" type="CELLRANGE">
                      <a:rPr lang="en-US">
                        <a:solidFill>
                          <a:schemeClr val="bg1"/>
                        </a:solidFill>
                      </a:rPr>
                      <a:pPr>
                        <a:defRPr>
                          <a:solidFill>
                            <a:schemeClr val="bg1"/>
                          </a:solidFill>
                        </a:defRPr>
                      </a:pPr>
                      <a:t>[ZELLBEREICH]</a:t>
                    </a:fld>
                    <a:endParaRPr lang="de-DE"/>
                  </a:p>
                </c:rich>
              </c:tx>
              <c:spPr>
                <a:noFill/>
                <a:ln>
                  <a:noFill/>
                </a:ln>
                <a:effectLst/>
              </c:spPr>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DBD-41DE-B869-EC781C870E93}"/>
                </c:ext>
              </c:extLst>
            </c:dLbl>
            <c:dLbl>
              <c:idx val="2"/>
              <c:tx>
                <c:rich>
                  <a:bodyPr/>
                  <a:lstStyle/>
                  <a:p>
                    <a:fld id="{D878CDC5-613C-4D1B-83D5-5812DA7B3D5F}" type="CELLRANGE">
                      <a:rPr lang="en-US"/>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0DBD-41DE-B869-EC781C870E93}"/>
                </c:ext>
              </c:extLst>
            </c:dLbl>
            <c:dLbl>
              <c:idx val="3"/>
              <c:tx>
                <c:rich>
                  <a:bodyPr/>
                  <a:lstStyle/>
                  <a:p>
                    <a:fld id="{EE6A81C4-63E5-46D6-B4DF-33AB34132842}"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DBD-41DE-B869-EC781C870E93}"/>
                </c:ext>
              </c:extLst>
            </c:dLbl>
            <c:dLbl>
              <c:idx val="4"/>
              <c:tx>
                <c:rich>
                  <a:bodyPr/>
                  <a:lstStyle/>
                  <a:p>
                    <a:fld id="{E352698B-AF72-4043-B55A-A377B6B55D18}" type="CELLRANGE">
                      <a:rPr lang="de-DE"/>
                      <a:pPr/>
                      <a:t>[ZELLBEREICH]</a:t>
                    </a:fld>
                    <a:endParaRPr lang="de-D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DBD-41DE-B869-EC781C870E93}"/>
                </c:ext>
              </c:extLst>
            </c:dLbl>
            <c:spPr>
              <a:noFill/>
              <a:ln>
                <a:noFill/>
              </a:ln>
              <a:effectLst/>
            </c:sp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uebbneu_Factsheet_T!$D$60:$D$64</c:f>
              <c:strCache>
                <c:ptCount val="5"/>
                <c:pt idx="0">
                  <c:v>HES</c:v>
                </c:pt>
                <c:pt idx="1">
                  <c:v>PRC</c:v>
                </c:pt>
                <c:pt idx="2">
                  <c:v>REC</c:v>
                </c:pt>
                <c:pt idx="3">
                  <c:v>PUB</c:v>
                </c:pt>
                <c:pt idx="4">
                  <c:v>OTH</c:v>
                </c:pt>
              </c:strCache>
            </c:strRef>
          </c:cat>
          <c:val>
            <c:numRef>
              <c:f>uebbneu_Factsheet_T!$F$60:$F$64</c:f>
              <c:numCache>
                <c:formatCode>#0"%"</c:formatCode>
                <c:ptCount val="5"/>
                <c:pt idx="0">
                  <c:v>55.188679245283026</c:v>
                </c:pt>
                <c:pt idx="1">
                  <c:v>36.320754716981128</c:v>
                </c:pt>
                <c:pt idx="2">
                  <c:v>2.8301886792452833</c:v>
                </c:pt>
                <c:pt idx="3">
                  <c:v>1.4150943396226416</c:v>
                </c:pt>
                <c:pt idx="4">
                  <c:v>4.2452830188679247</c:v>
                </c:pt>
              </c:numCache>
            </c:numRef>
          </c:val>
          <c:extLst>
            <c:ext xmlns:c15="http://schemas.microsoft.com/office/drawing/2012/chart" uri="{02D57815-91ED-43cb-92C2-25804820EDAC}">
              <c15:datalabelsRange>
                <c15:f>uebbneu_Factsheet_T!$E$60:$E$64</c15:f>
                <c15:dlblRangeCache>
                  <c:ptCount val="5"/>
                  <c:pt idx="0">
                    <c:v>117</c:v>
                  </c:pt>
                  <c:pt idx="1">
                    <c:v>77</c:v>
                  </c:pt>
                  <c:pt idx="2">
                    <c:v>6</c:v>
                  </c:pt>
                  <c:pt idx="3">
                    <c:v>3</c:v>
                  </c:pt>
                  <c:pt idx="4">
                    <c:v>9</c:v>
                  </c:pt>
                </c15:dlblRangeCache>
              </c15:datalabelsRange>
            </c:ext>
            <c:ext xmlns:c16="http://schemas.microsoft.com/office/drawing/2014/chart" uri="{C3380CC4-5D6E-409C-BE32-E72D297353CC}">
              <c16:uniqueId val="{00000005-0DBD-41DE-B869-EC781C870E93}"/>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uebbneu_Factsheet_V!$D$9</c:f>
              <c:strCache>
                <c:ptCount val="1"/>
                <c:pt idx="0">
                  <c:v>Verträge (Anzahl angedruckt)</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ABF5-4A18-A831-668DC6A6F39A}"/>
                </c:ext>
              </c:extLst>
            </c:dLbl>
            <c:dLbl>
              <c:idx val="1"/>
              <c:delete val="1"/>
              <c:extLst>
                <c:ext xmlns:c15="http://schemas.microsoft.com/office/drawing/2012/chart" uri="{CE6537A1-D6FC-4f65-9D91-7224C49458BB}"/>
                <c:ext xmlns:c16="http://schemas.microsoft.com/office/drawing/2014/chart" uri="{C3380CC4-5D6E-409C-BE32-E72D297353CC}">
                  <c16:uniqueId val="{00000003-ABF5-4A18-A831-668DC6A6F39A}"/>
                </c:ext>
              </c:extLst>
            </c:dLbl>
            <c:dLbl>
              <c:idx val="2"/>
              <c:delete val="1"/>
              <c:extLst>
                <c:ext xmlns:c15="http://schemas.microsoft.com/office/drawing/2012/chart" uri="{CE6537A1-D6FC-4f65-9D91-7224C49458BB}"/>
                <c:ext xmlns:c16="http://schemas.microsoft.com/office/drawing/2014/chart" uri="{C3380CC4-5D6E-409C-BE32-E72D297353CC}">
                  <c16:uniqueId val="{00000004-ABF5-4A18-A831-668DC6A6F39A}"/>
                </c:ext>
              </c:extLst>
            </c:dLbl>
            <c:dLbl>
              <c:idx val="4"/>
              <c:delete val="1"/>
              <c:extLst>
                <c:ext xmlns:c15="http://schemas.microsoft.com/office/drawing/2012/chart" uri="{CE6537A1-D6FC-4f65-9D91-7224C49458BB}"/>
                <c:ext xmlns:c16="http://schemas.microsoft.com/office/drawing/2014/chart" uri="{C3380CC4-5D6E-409C-BE32-E72D297353CC}">
                  <c16:uniqueId val="{00000005-ABF5-4A18-A831-668DC6A6F39A}"/>
                </c:ext>
              </c:extLst>
            </c:dLbl>
            <c:dLbl>
              <c:idx val="6"/>
              <c:delete val="1"/>
              <c:extLst>
                <c:ext xmlns:c15="http://schemas.microsoft.com/office/drawing/2012/chart" uri="{CE6537A1-D6FC-4f65-9D91-7224C49458BB}"/>
                <c:ext xmlns:c16="http://schemas.microsoft.com/office/drawing/2014/chart" uri="{C3380CC4-5D6E-409C-BE32-E72D297353CC}">
                  <c16:uniqueId val="{00000006-ABF5-4A18-A831-668DC6A6F39A}"/>
                </c:ext>
              </c:extLst>
            </c:dLbl>
            <c:dLbl>
              <c:idx val="11"/>
              <c:delete val="1"/>
              <c:extLst>
                <c:ext xmlns:c15="http://schemas.microsoft.com/office/drawing/2012/chart" uri="{CE6537A1-D6FC-4f65-9D91-7224C49458BB}"/>
                <c:ext xmlns:c16="http://schemas.microsoft.com/office/drawing/2014/chart" uri="{C3380CC4-5D6E-409C-BE32-E72D297353CC}">
                  <c16:uniqueId val="{00000007-ABF5-4A18-A831-668DC6A6F39A}"/>
                </c:ext>
              </c:extLst>
            </c:dLbl>
            <c:dLbl>
              <c:idx val="12"/>
              <c:delete val="1"/>
              <c:extLst>
                <c:ext xmlns:c15="http://schemas.microsoft.com/office/drawing/2012/chart" uri="{CE6537A1-D6FC-4f65-9D91-7224C49458BB}"/>
                <c:ext xmlns:c16="http://schemas.microsoft.com/office/drawing/2014/chart" uri="{C3380CC4-5D6E-409C-BE32-E72D297353CC}">
                  <c16:uniqueId val="{00000008-ABF5-4A18-A831-668DC6A6F39A}"/>
                </c:ext>
              </c:extLst>
            </c:dLbl>
            <c:dLbl>
              <c:idx val="13"/>
              <c:delete val="1"/>
              <c:extLst>
                <c:ext xmlns:c15="http://schemas.microsoft.com/office/drawing/2012/chart" uri="{CE6537A1-D6FC-4f65-9D91-7224C49458BB}"/>
                <c:ext xmlns:c16="http://schemas.microsoft.com/office/drawing/2014/chart" uri="{C3380CC4-5D6E-409C-BE32-E72D297353CC}">
                  <c16:uniqueId val="{00000009-ABF5-4A18-A831-668DC6A6F39A}"/>
                </c:ext>
              </c:extLst>
            </c:dLbl>
            <c:dLbl>
              <c:idx val="15"/>
              <c:delete val="1"/>
              <c:extLst>
                <c:ext xmlns:c15="http://schemas.microsoft.com/office/drawing/2012/chart" uri="{CE6537A1-D6FC-4f65-9D91-7224C49458BB}"/>
                <c:ext xmlns:c16="http://schemas.microsoft.com/office/drawing/2014/chart" uri="{C3380CC4-5D6E-409C-BE32-E72D297353CC}">
                  <c16:uniqueId val="{0000000A-ABF5-4A18-A831-668DC6A6F39A}"/>
                </c:ext>
              </c:extLst>
            </c:dLbl>
            <c:dLbl>
              <c:idx val="16"/>
              <c:delete val="1"/>
              <c:extLst>
                <c:ext xmlns:c15="http://schemas.microsoft.com/office/drawing/2012/chart" uri="{CE6537A1-D6FC-4f65-9D91-7224C49458BB}"/>
                <c:ext xmlns:c16="http://schemas.microsoft.com/office/drawing/2014/chart" uri="{C3380CC4-5D6E-409C-BE32-E72D297353CC}">
                  <c16:uniqueId val="{0000000B-ABF5-4A18-A831-668DC6A6F39A}"/>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uebbneu_Factsheet_V!$N$10:$N$28</c15:sqref>
                  </c15:fullRef>
                </c:ext>
              </c:extLst>
              <c:f>uebbneu_Factsheet_V!$N$10:$N$26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uebbneu_Factsheet_V!$D$10:$D$28</c15:sqref>
                  </c15:fullRef>
                </c:ext>
              </c:extLst>
              <c:f>uebbneu_Factsheet_V!$D$10:$D$26</c:f>
              <c:numCache>
                <c:formatCode>General</c:formatCode>
                <c:ptCount val="17"/>
                <c:pt idx="0">
                  <c:v>0</c:v>
                </c:pt>
                <c:pt idx="1">
                  <c:v>1</c:v>
                </c:pt>
                <c:pt idx="2">
                  <c:v>0</c:v>
                </c:pt>
                <c:pt idx="4">
                  <c:v>0</c:v>
                </c:pt>
                <c:pt idx="5">
                  <c:v>1</c:v>
                </c:pt>
                <c:pt idx="6">
                  <c:v>0</c:v>
                </c:pt>
                <c:pt idx="7">
                  <c:v>4</c:v>
                </c:pt>
                <c:pt idx="8">
                  <c:v>5</c:v>
                </c:pt>
                <c:pt idx="9">
                  <c:v>2</c:v>
                </c:pt>
                <c:pt idx="11">
                  <c:v>0</c:v>
                </c:pt>
                <c:pt idx="12">
                  <c:v>0</c:v>
                </c:pt>
                <c:pt idx="13">
                  <c:v>0</c:v>
                </c:pt>
                <c:pt idx="15">
                  <c:v>0</c:v>
                </c:pt>
                <c:pt idx="16">
                  <c:v>0</c:v>
                </c:pt>
              </c:numCache>
            </c:numRef>
          </c:val>
          <c:extLst>
            <c:ext xmlns:c16="http://schemas.microsoft.com/office/drawing/2014/chart" uri="{C3380CC4-5D6E-409C-BE32-E72D297353CC}">
              <c16:uniqueId val="{00000000-4503-428D-897C-012D3F02A0EE}"/>
            </c:ext>
          </c:extLst>
        </c:ser>
        <c:ser>
          <c:idx val="2"/>
          <c:order val="1"/>
          <c:tx>
            <c:strRef>
              <c:f>uebbneu_Factsheet_V!$F$9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uebbneu_Factsheet_V!$N$10:$N$28</c15:sqref>
                  </c15:fullRef>
                </c:ext>
              </c:extLst>
              <c:f>uebbneu_Factsheet_V!$N$10:$N$26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uebbneu_Factsheet_V!$F$10:$F$28</c15:sqref>
                  </c15:fullRef>
                </c:ext>
              </c:extLst>
              <c:f>uebbneu_Factsheet_V!$F$10:$F$26</c:f>
              <c:numCache>
                <c:formatCode>#,##0</c:formatCode>
                <c:ptCount val="17"/>
                <c:pt idx="0">
                  <c:v>1</c:v>
                </c:pt>
                <c:pt idx="1">
                  <c:v>17</c:v>
                </c:pt>
                <c:pt idx="2">
                  <c:v>1</c:v>
                </c:pt>
                <c:pt idx="4">
                  <c:v>2</c:v>
                </c:pt>
                <c:pt idx="5">
                  <c:v>7</c:v>
                </c:pt>
                <c:pt idx="6">
                  <c:v>12</c:v>
                </c:pt>
                <c:pt idx="7">
                  <c:v>31</c:v>
                </c:pt>
                <c:pt idx="8">
                  <c:v>33</c:v>
                </c:pt>
                <c:pt idx="9">
                  <c:v>5</c:v>
                </c:pt>
                <c:pt idx="11">
                  <c:v>9</c:v>
                </c:pt>
                <c:pt idx="12">
                  <c:v>2</c:v>
                </c:pt>
                <c:pt idx="13">
                  <c:v>0</c:v>
                </c:pt>
                <c:pt idx="15">
                  <c:v>1</c:v>
                </c:pt>
                <c:pt idx="16">
                  <c:v>1</c:v>
                </c:pt>
              </c:numCache>
            </c:numRef>
          </c:val>
          <c:extLst>
            <c:ext xmlns:c16="http://schemas.microsoft.com/office/drawing/2014/chart" uri="{C3380CC4-5D6E-409C-BE32-E72D297353CC}">
              <c16:uniqueId val="{00000016-4503-428D-897C-012D3F02A0EE}"/>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spPr>
        <a:noFill/>
        <a:ln w="25400">
          <a:noFill/>
        </a:ln>
      </c:spPr>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0247885680958"/>
          <c:y val="0.27844492448226715"/>
          <c:w val="0.8079282589676291"/>
          <c:h val="0.67525897119081979"/>
        </c:manualLayout>
      </c:layout>
      <c:barChart>
        <c:barDir val="bar"/>
        <c:grouping val="clustered"/>
        <c:varyColors val="0"/>
        <c:ser>
          <c:idx val="0"/>
          <c:order val="0"/>
          <c:invertIfNegative val="0"/>
          <c:dLbls>
            <c:dLbl>
              <c:idx val="0"/>
              <c:tx>
                <c:strRef>
                  <c:f>uebbneu_Factsheet_V!$E$60</c:f>
                  <c:strCache>
                    <c:ptCount val="1"/>
                    <c:pt idx="0">
                      <c:v>2</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{DDF37775-64C6-4848-8CE8-4384253AF2AC}</c15:txfldGUID>
                      <c15:f>uebbneu_Factsheet_V!$E$60</c15:f>
                      <c15:dlblFieldTableCache>
                        <c:ptCount val="1"/>
                        <c:pt idx="0">
                          <c:v>2</c:v>
                        </c:pt>
                      </c15:dlblFieldTableCache>
                    </c15:dlblFTEntry>
                  </c15:dlblFieldTable>
                  <c15:showDataLabelsRange val="0"/>
                </c:ext>
                <c:ext xmlns:c16="http://schemas.microsoft.com/office/drawing/2014/chart" uri="{C3380CC4-5D6E-409C-BE32-E72D297353CC}">
                  <c16:uniqueId val="{00000000-7A10-476F-9694-A07A790C8836}"/>
                </c:ext>
              </c:extLst>
            </c:dLbl>
            <c:dLbl>
              <c:idx val="1"/>
              <c:tx>
                <c:strRef>
                  <c:f>uebbneu_Factsheet_V!$E$61</c:f>
                  <c:strCache>
                    <c:ptCount val="1"/>
                    <c:pt idx="0">
                      <c:v>10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{4F154D72-5C68-47DA-8A72-C37C941CD2E3}</c15:txfldGUID>
                      <c15:f>uebbneu_Factsheet_V!$E$61</c15:f>
                      <c15:dlblFieldTableCache>
                        <c:ptCount val="1"/>
                        <c:pt idx="0">
                          <c:v>10</c:v>
                        </c:pt>
                      </c15:dlblFieldTableCache>
                    </c15:dlblFTEntry>
                  </c15:dlblFieldTable>
                  <c15:showDataLabelsRange val="0"/>
                </c:ext>
                <c:ext xmlns:c16="http://schemas.microsoft.com/office/drawing/2014/chart" uri="{C3380CC4-5D6E-409C-BE32-E72D297353CC}">
                  <c16:uniqueId val="{00000001-7A10-476F-9694-A07A790C8836}"/>
                </c:ext>
              </c:extLst>
            </c:dLbl>
            <c:dLbl>
              <c:idx val="2"/>
              <c:tx>
                <c:strRef>
                  <c:f>uebbneu_Factsheet_V!$E$62</c:f>
                  <c:strCache>
                    <c:ptCount val="1"/>
                    <c:pt idx="0">
                      <c:v>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{7BB52158-B841-4CC4-A345-6B2A3E016FC6}</c15:txfldGUID>
                      <c15:f>uebbneu_Factsheet_V!$E$62</c15:f>
                      <c15:dlblFieldTableCache>
                        <c:ptCount val="1"/>
                        <c:pt idx="0">
                          <c:v>0</c:v>
                        </c:pt>
                      </c15:dlblFieldTableCache>
                    </c15:dlblFTEntry>
                  </c15:dlblFieldTable>
                  <c15:showDataLabelsRange val="0"/>
                </c:ext>
                <c:ext xmlns:c16="http://schemas.microsoft.com/office/drawing/2014/chart" uri="{C3380CC4-5D6E-409C-BE32-E72D297353CC}">
                  <c16:uniqueId val="{00000002-7A10-476F-9694-A07A790C8836}"/>
                </c:ext>
              </c:extLst>
            </c:dLbl>
            <c:dLbl>
              <c:idx val="3"/>
              <c:layout>
                <c:manualLayout>
                  <c:x val="-5.372083591591871E-2"/>
                  <c:y val="1.2160642081901924E-6"/>
                </c:manualLayout>
              </c:layout>
              <c:tx>
                <c:strRef>
                  <c:f>uebbneu_Factsheet_V!$E$63</c:f>
                  <c:strCache>
                    <c:ptCount val="1"/>
                    <c:pt idx="0">
                      <c:v>1</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{111C93E8-33F8-47DA-800D-952117C28A30}</c15:txfldGUID>
                      <c15:f>uebbneu_Factsheet_V!$E$63</c15:f>
                      <c15:dlblFieldTableCache>
                        <c:ptCount val="1"/>
                        <c:pt idx="0">
                          <c:v>1</c:v>
                        </c:pt>
                      </c15:dlblFieldTableCache>
                    </c15:dlblFTEntry>
                  </c15:dlblFieldTable>
                  <c15:showDataLabelsRange val="0"/>
                </c:ext>
                <c:ext xmlns:c16="http://schemas.microsoft.com/office/drawing/2014/chart" uri="{C3380CC4-5D6E-409C-BE32-E72D297353CC}">
                  <c16:uniqueId val="{00000003-7A10-476F-9694-A07A790C8836}"/>
                </c:ext>
              </c:extLst>
            </c:dLbl>
            <c:dLbl>
              <c:idx val="4"/>
              <c:tx>
                <c:strRef>
                  <c:f>uebbneu_Factsheet_V!$E$64</c:f>
                  <c:strCache>
                    <c:ptCount val="1"/>
                    <c:pt idx="0">
                      <c:v>0</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{D4BA3928-3026-4355-B7D1-81AFADC495B1}</c15:txfldGUID>
                      <c15:f>uebbneu_Factsheet_V!$E$64</c15:f>
                      <c15:dlblFieldTableCache>
                        <c:ptCount val="1"/>
                        <c:pt idx="0">
                          <c:v>0</c:v>
                        </c:pt>
                      </c15:dlblFieldTableCache>
                    </c15:dlblFTEntry>
                  </c15:dlblFieldTable>
                  <c15:showDataLabelsRange val="0"/>
                </c:ext>
                <c:ext xmlns:c16="http://schemas.microsoft.com/office/drawing/2014/chart" uri="{C3380CC4-5D6E-409C-BE32-E72D297353CC}">
                  <c16:uniqueId val="{00000004-7A10-476F-9694-A07A790C8836}"/>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uebbneu_Factsheet_V!$D$60:$D$64</c:f>
              <c:strCache>
                <c:ptCount val="5"/>
                <c:pt idx="0">
                  <c:v>HES</c:v>
                </c:pt>
                <c:pt idx="1">
                  <c:v>PRC</c:v>
                </c:pt>
                <c:pt idx="2">
                  <c:v>REC</c:v>
                </c:pt>
                <c:pt idx="3">
                  <c:v>PUB</c:v>
                </c:pt>
                <c:pt idx="4">
                  <c:v>OTH</c:v>
                </c:pt>
              </c:strCache>
            </c:strRef>
          </c:cat>
          <c:val>
            <c:numRef>
              <c:f>uebbneu_Factsheet_V!$F$60:$F$64</c:f>
              <c:numCache>
                <c:formatCode>#0"%"</c:formatCode>
                <c:ptCount val="5"/>
                <c:pt idx="0">
                  <c:v>15.384615384615385</c:v>
                </c:pt>
                <c:pt idx="1">
                  <c:v>76.923076923076934</c:v>
                </c:pt>
                <c:pt idx="2">
                  <c:v>0</c:v>
                </c:pt>
                <c:pt idx="3">
                  <c:v>7.6923076923076925</c:v>
                </c:pt>
                <c:pt idx="4">
                  <c:v>0</c:v>
                </c:pt>
              </c:numCache>
            </c:numRef>
          </c:val>
          <c:extLst>
            <c:ext xmlns:c16="http://schemas.microsoft.com/office/drawing/2014/chart" uri="{C3380CC4-5D6E-409C-BE32-E72D297353CC}">
              <c16:uniqueId val="{00000005-7A10-476F-9694-A07A790C8836}"/>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582195421774814"/>
          <c:y val="0.13761934768324424"/>
          <c:w val="0.62398784012757902"/>
          <c:h val="0.83250965354986994"/>
        </c:manualLayout>
      </c:layout>
      <c:barChart>
        <c:barDir val="bar"/>
        <c:grouping val="stacked"/>
        <c:varyColors val="0"/>
        <c:ser>
          <c:idx val="0"/>
          <c:order val="0"/>
          <c:tx>
            <c:strRef>
              <c:f>uebbneu_Factsheet_W!$D$9</c:f>
              <c:strCache>
                <c:ptCount val="1"/>
                <c:pt idx="0">
                  <c:v>Verträge (Anzahl angedruckt)</c:v>
                </c:pt>
              </c:strCache>
            </c:strRef>
          </c:tx>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uebbneu_Factsheet_W!$N$10:$N$28</c15:sqref>
                  </c15:fullRef>
                </c:ext>
              </c:extLst>
              <c:f>uebbneu_Factsheet_W!$N$10:$N$26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uebbneu_Factsheet_W!$D$10:$D$28</c15:sqref>
                  </c15:fullRef>
                </c:ext>
              </c:extLst>
              <c:f>uebbneu_Factsheet_W!$D$10:$D$26</c:f>
              <c:numCache>
                <c:formatCode>General</c:formatCode>
                <c:ptCount val="17"/>
                <c:pt idx="0">
                  <c:v>180</c:v>
                </c:pt>
                <c:pt idx="1">
                  <c:v>409</c:v>
                </c:pt>
                <c:pt idx="2">
                  <c:v>69</c:v>
                </c:pt>
                <c:pt idx="4">
                  <c:v>177</c:v>
                </c:pt>
                <c:pt idx="5">
                  <c:v>134</c:v>
                </c:pt>
                <c:pt idx="6">
                  <c:v>56</c:v>
                </c:pt>
                <c:pt idx="7">
                  <c:v>263</c:v>
                </c:pt>
                <c:pt idx="8">
                  <c:v>370</c:v>
                </c:pt>
                <c:pt idx="9">
                  <c:v>261</c:v>
                </c:pt>
                <c:pt idx="11">
                  <c:v>56</c:v>
                </c:pt>
                <c:pt idx="12">
                  <c:v>9</c:v>
                </c:pt>
                <c:pt idx="13">
                  <c:v>8</c:v>
                </c:pt>
                <c:pt idx="15">
                  <c:v>37</c:v>
                </c:pt>
                <c:pt idx="16">
                  <c:v>32</c:v>
                </c:pt>
              </c:numCache>
            </c:numRef>
          </c:val>
          <c:extLst>
            <c:ext xmlns:c16="http://schemas.microsoft.com/office/drawing/2014/chart" uri="{C3380CC4-5D6E-409C-BE32-E72D297353CC}">
              <c16:uniqueId val="{00000000-3C4C-434D-909B-49BE07F3D94F}"/>
            </c:ext>
          </c:extLst>
        </c:ser>
        <c:ser>
          <c:idx val="2"/>
          <c:order val="1"/>
          <c:tx>
            <c:strRef>
              <c:f>uebbneu_Factsheet_W!$F$9</c:f>
              <c:strCache>
                <c:ptCount val="1"/>
                <c:pt idx="0">
                  <c:v>Einreichungen</c:v>
                </c:pt>
              </c:strCache>
            </c:strRef>
          </c:tx>
          <c:spPr>
            <a:solidFill>
              <a:srgbClr val="B8B8B8"/>
            </a:solidFill>
          </c:spPr>
          <c:invertIfNegative val="0"/>
          <c:cat>
            <c:strRef>
              <c:extLst>
                <c:ext xmlns:c15="http://schemas.microsoft.com/office/drawing/2012/chart" uri="{02D57815-91ED-43cb-92C2-25804820EDAC}">
                  <c15:fullRef>
                    <c15:sqref>uebbneu_Factsheet_W!$N$10:$N$28</c15:sqref>
                  </c15:fullRef>
                </c:ext>
              </c:extLst>
              <c:f>uebbneu_Factsheet_W!$N$10:$N$26</c:f>
              <c:strCache>
                <c:ptCount val="17"/>
                <c:pt idx="0">
                  <c:v>ERC</c:v>
                </c:pt>
                <c:pt idx="1">
                  <c:v>MSCA</c:v>
                </c:pt>
                <c:pt idx="2">
                  <c:v>RIS</c:v>
                </c:pt>
                <c:pt idx="4">
                  <c:v>Health</c:v>
                </c:pt>
                <c:pt idx="5">
                  <c:v>Culture, creativity …</c:v>
                </c:pt>
                <c:pt idx="6">
                  <c:v>Civil Security …</c:v>
                </c:pt>
                <c:pt idx="7">
                  <c:v>Digital, Industry and Space</c:v>
                </c:pt>
                <c:pt idx="8">
                  <c:v>Climate, Energy and Mobility</c:v>
                </c:pt>
                <c:pt idx="9">
                  <c:v>Food, Bioeconomy …</c:v>
                </c:pt>
                <c:pt idx="11">
                  <c:v>EIC</c:v>
                </c:pt>
                <c:pt idx="12">
                  <c:v>EIE</c:v>
                </c:pt>
                <c:pt idx="13">
                  <c:v>EIT</c:v>
                </c:pt>
                <c:pt idx="15">
                  <c:v>Widening &amp; Spreading</c:v>
                </c:pt>
                <c:pt idx="16">
                  <c:v>Reforming &amp; Enhancing</c:v>
                </c:pt>
              </c:strCache>
            </c:strRef>
          </c:cat>
          <c:val>
            <c:numRef>
              <c:extLst>
                <c:ext xmlns:c15="http://schemas.microsoft.com/office/drawing/2012/chart" uri="{02D57815-91ED-43cb-92C2-25804820EDAC}">
                  <c15:fullRef>
                    <c15:sqref>uebbneu_Factsheet_W!$F$10:$F$28</c15:sqref>
                  </c15:fullRef>
                </c:ext>
              </c:extLst>
              <c:f>uebbneu_Factsheet_W!$F$10:$F$26</c:f>
              <c:numCache>
                <c:formatCode>#,##0</c:formatCode>
                <c:ptCount val="17"/>
                <c:pt idx="0">
                  <c:v>655</c:v>
                </c:pt>
                <c:pt idx="1">
                  <c:v>2107</c:v>
                </c:pt>
                <c:pt idx="2">
                  <c:v>68</c:v>
                </c:pt>
                <c:pt idx="4">
                  <c:v>572</c:v>
                </c:pt>
                <c:pt idx="5">
                  <c:v>678</c:v>
                </c:pt>
                <c:pt idx="6">
                  <c:v>566</c:v>
                </c:pt>
                <c:pt idx="7">
                  <c:v>1048</c:v>
                </c:pt>
                <c:pt idx="8">
                  <c:v>1232</c:v>
                </c:pt>
                <c:pt idx="9">
                  <c:v>729</c:v>
                </c:pt>
                <c:pt idx="11">
                  <c:v>710</c:v>
                </c:pt>
                <c:pt idx="12">
                  <c:v>61</c:v>
                </c:pt>
                <c:pt idx="13">
                  <c:v>0</c:v>
                </c:pt>
                <c:pt idx="15">
                  <c:v>173</c:v>
                </c:pt>
                <c:pt idx="16">
                  <c:v>74</c:v>
                </c:pt>
              </c:numCache>
            </c:numRef>
          </c:val>
          <c:extLst>
            <c:ext xmlns:c16="http://schemas.microsoft.com/office/drawing/2014/chart" uri="{C3380CC4-5D6E-409C-BE32-E72D297353CC}">
              <c16:uniqueId val="{00000016-3C4C-434D-909B-49BE07F3D94F}"/>
            </c:ext>
          </c:extLst>
        </c:ser>
        <c:dLbls>
          <c:showLegendKey val="0"/>
          <c:showVal val="0"/>
          <c:showCatName val="0"/>
          <c:showSerName val="0"/>
          <c:showPercent val="0"/>
          <c:showBubbleSize val="0"/>
        </c:dLbls>
        <c:gapWidth val="50"/>
        <c:overlap val="100"/>
        <c:axId val="459250688"/>
        <c:axId val="459260672"/>
      </c:barChart>
      <c:catAx>
        <c:axId val="459250688"/>
        <c:scaling>
          <c:orientation val="maxMin"/>
        </c:scaling>
        <c:delete val="0"/>
        <c:axPos val="l"/>
        <c:numFmt formatCode="General" sourceLinked="0"/>
        <c:majorTickMark val="none"/>
        <c:minorTickMark val="none"/>
        <c:tickLblPos val="nextTo"/>
        <c:spPr>
          <a:ln>
            <a:noFill/>
          </a:ln>
        </c:spPr>
        <c:txPr>
          <a:bodyPr/>
          <a:lstStyle/>
          <a:p>
            <a:pPr>
              <a:defRPr sz="1100"/>
            </a:pPr>
            <a:endParaRPr lang="de-DE"/>
          </a:p>
        </c:txPr>
        <c:crossAx val="459260672"/>
        <c:crosses val="autoZero"/>
        <c:auto val="1"/>
        <c:lblAlgn val="ctr"/>
        <c:lblOffset val="100"/>
        <c:noMultiLvlLbl val="0"/>
      </c:catAx>
      <c:valAx>
        <c:axId val="459260672"/>
        <c:scaling>
          <c:orientation val="minMax"/>
          <c:min val="0"/>
        </c:scaling>
        <c:delete val="0"/>
        <c:axPos val="t"/>
        <c:majorGridlines>
          <c:spPr>
            <a:ln>
              <a:solidFill>
                <a:srgbClr val="E0E0E0"/>
              </a:solidFill>
            </a:ln>
          </c:spPr>
        </c:majorGridlines>
        <c:numFmt formatCode="General" sourceLinked="1"/>
        <c:majorTickMark val="none"/>
        <c:minorTickMark val="none"/>
        <c:tickLblPos val="nextTo"/>
        <c:spPr>
          <a:ln>
            <a:noFill/>
          </a:ln>
        </c:spPr>
        <c:crossAx val="459250688"/>
        <c:crosses val="autoZero"/>
        <c:crossBetween val="between"/>
      </c:valAx>
    </c:plotArea>
    <c:legend>
      <c:legendPos val="t"/>
      <c:overlay val="0"/>
      <c:txPr>
        <a:bodyPr/>
        <a:lstStyle/>
        <a:p>
          <a:pPr>
            <a:defRPr sz="11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50247885680958"/>
          <c:y val="0.27844492448226715"/>
          <c:w val="0.8079282589676291"/>
          <c:h val="0.67525897119081979"/>
        </c:manualLayout>
      </c:layout>
      <c:barChart>
        <c:barDir val="bar"/>
        <c:grouping val="clustered"/>
        <c:varyColors val="0"/>
        <c:ser>
          <c:idx val="0"/>
          <c:order val="0"/>
          <c:invertIfNegative val="0"/>
          <c:dLbls>
            <c:dLbl>
              <c:idx val="0"/>
              <c:tx>
                <c:strRef>
                  <c:f>uebbneu_Factsheet_W!$E$58</c:f>
                  <c:strCache>
                    <c:ptCount val="1"/>
                    <c:pt idx="0">
                      <c:v>754</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{A8352012-7929-478B-8F36-B37488089600}</c15:txfldGUID>
                      <c15:f>uebbneu_Factsheet_W!$E$58</c15:f>
                      <c15:dlblFieldTableCache>
                        <c:ptCount val="1"/>
                        <c:pt idx="0">
                          <c:v>754</c:v>
                        </c:pt>
                      </c15:dlblFieldTableCache>
                    </c15:dlblFTEntry>
                  </c15:dlblFieldTable>
                  <c15:showDataLabelsRange val="0"/>
                </c:ext>
                <c:ext xmlns:c16="http://schemas.microsoft.com/office/drawing/2014/chart" uri="{C3380CC4-5D6E-409C-BE32-E72D297353CC}">
                  <c16:uniqueId val="{00000000-277F-4C11-91E1-037CC5007E67}"/>
                </c:ext>
              </c:extLst>
            </c:dLbl>
            <c:dLbl>
              <c:idx val="1"/>
              <c:tx>
                <c:strRef>
                  <c:f>uebbneu_Factsheet_W!$E$59</c:f>
                  <c:strCache>
                    <c:ptCount val="1"/>
                    <c:pt idx="0">
                      <c:v>481</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{17A350E1-97F9-4D6C-AFFB-FFC8CD45401C}</c15:txfldGUID>
                      <c15:f>uebbneu_Factsheet_W!$E$59</c15:f>
                      <c15:dlblFieldTableCache>
                        <c:ptCount val="1"/>
                        <c:pt idx="0">
                          <c:v>481</c:v>
                        </c:pt>
                      </c15:dlblFieldTableCache>
                    </c15:dlblFTEntry>
                  </c15:dlblFieldTable>
                  <c15:showDataLabelsRange val="0"/>
                </c:ext>
                <c:ext xmlns:c16="http://schemas.microsoft.com/office/drawing/2014/chart" uri="{C3380CC4-5D6E-409C-BE32-E72D297353CC}">
                  <c16:uniqueId val="{00000001-277F-4C11-91E1-037CC5007E67}"/>
                </c:ext>
              </c:extLst>
            </c:dLbl>
            <c:dLbl>
              <c:idx val="2"/>
              <c:tx>
                <c:strRef>
                  <c:f>uebbneu_Factsheet_W!$E$60</c:f>
                  <c:strCache>
                    <c:ptCount val="1"/>
                    <c:pt idx="0">
                      <c:v>554</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{0494209D-2D44-4A00-9C1B-A2A5508DF2D2}</c15:txfldGUID>
                      <c15:f>uebbneu_Factsheet_W!$E$60</c15:f>
                      <c15:dlblFieldTableCache>
                        <c:ptCount val="1"/>
                        <c:pt idx="0">
                          <c:v>554</c:v>
                        </c:pt>
                      </c15:dlblFieldTableCache>
                    </c15:dlblFTEntry>
                  </c15:dlblFieldTable>
                  <c15:showDataLabelsRange val="0"/>
                </c:ext>
                <c:ext xmlns:c16="http://schemas.microsoft.com/office/drawing/2014/chart" uri="{C3380CC4-5D6E-409C-BE32-E72D297353CC}">
                  <c16:uniqueId val="{00000002-277F-4C11-91E1-037CC5007E67}"/>
                </c:ext>
              </c:extLst>
            </c:dLbl>
            <c:dLbl>
              <c:idx val="3"/>
              <c:layout>
                <c:manualLayout>
                  <c:x val="-8.4818879441460965E-2"/>
                  <c:y val="4.2851786393822087E-7"/>
                </c:manualLayout>
              </c:layout>
              <c:tx>
                <c:strRef>
                  <c:f>uebbneu_Factsheet_W!$E$61</c:f>
                  <c:strCache>
                    <c:ptCount val="1"/>
                    <c:pt idx="0">
                      <c:v>87</c:v>
                    </c:pt>
                  </c:strCache>
                </c:strRef>
              </c:tx>
              <c:dLblPos val="outEnd"/>
              <c:showLegendKey val="0"/>
              <c:showVal val="1"/>
              <c:showCatName val="0"/>
              <c:showSerName val="0"/>
              <c:showPercent val="0"/>
              <c:showBubbleSize val="0"/>
              <c:extLst>
                <c:ext xmlns:c15="http://schemas.microsoft.com/office/drawing/2012/chart" uri="{CE6537A1-D6FC-4f65-9D91-7224C49458BB}">
                  <c15:dlblFieldTable>
                    <c15:dlblFTEntry>
                      <c15:txfldGUID>{6D3E70C2-4BE4-4F84-8AB8-73E1BD98A957}</c15:txfldGUID>
                      <c15:f>uebbneu_Factsheet_W!$E$61</c15:f>
                      <c15:dlblFieldTableCache>
                        <c:ptCount val="1"/>
                        <c:pt idx="0">
                          <c:v>87</c:v>
                        </c:pt>
                      </c15:dlblFieldTableCache>
                    </c15:dlblFTEntry>
                  </c15:dlblFieldTable>
                  <c15:showDataLabelsRange val="0"/>
                </c:ext>
                <c:ext xmlns:c16="http://schemas.microsoft.com/office/drawing/2014/chart" uri="{C3380CC4-5D6E-409C-BE32-E72D297353CC}">
                  <c16:uniqueId val="{00000003-277F-4C11-91E1-037CC5007E67}"/>
                </c:ext>
              </c:extLst>
            </c:dLbl>
            <c:dLbl>
              <c:idx val="4"/>
              <c:tx>
                <c:strRef>
                  <c:f>uebbneu_Factsheet_W!$E$62</c:f>
                  <c:strCache>
                    <c:ptCount val="1"/>
                    <c:pt idx="0">
                      <c:v>185</c:v>
                    </c:pt>
                  </c:strCache>
                </c:strRef>
              </c:tx>
              <c:dLblPos val="inEnd"/>
              <c:showLegendKey val="0"/>
              <c:showVal val="1"/>
              <c:showCatName val="0"/>
              <c:showSerName val="0"/>
              <c:showPercent val="0"/>
              <c:showBubbleSize val="0"/>
              <c:extLst>
                <c:ext xmlns:c15="http://schemas.microsoft.com/office/drawing/2012/chart" uri="{CE6537A1-D6FC-4f65-9D91-7224C49458BB}">
                  <c15:dlblFieldTable>
                    <c15:dlblFTEntry>
                      <c15:txfldGUID>{1A11F87F-AAE1-463A-99F9-12F7E708377C}</c15:txfldGUID>
                      <c15:f>uebbneu_Factsheet_W!$E$62</c15:f>
                      <c15:dlblFieldTableCache>
                        <c:ptCount val="1"/>
                        <c:pt idx="0">
                          <c:v>185</c:v>
                        </c:pt>
                      </c15:dlblFieldTableCache>
                    </c15:dlblFTEntry>
                  </c15:dlblFieldTable>
                  <c15:showDataLabelsRange val="0"/>
                </c:ext>
                <c:ext xmlns:c16="http://schemas.microsoft.com/office/drawing/2014/chart" uri="{C3380CC4-5D6E-409C-BE32-E72D297353CC}">
                  <c16:uniqueId val="{00000004-277F-4C11-91E1-037CC5007E67}"/>
                </c:ext>
              </c:extLst>
            </c:dLbl>
            <c:spPr>
              <a:noFill/>
              <a:ln>
                <a:noFill/>
              </a:ln>
              <a:effectLst/>
            </c:spPr>
            <c:txPr>
              <a:bodyPr/>
              <a:lstStyle/>
              <a:p>
                <a:pPr>
                  <a:defRPr>
                    <a:solidFill>
                      <a:schemeClr val="bg1"/>
                    </a:solidFill>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uebbneu_Factsheet_W!$D$58:$D$62</c:f>
              <c:strCache>
                <c:ptCount val="5"/>
                <c:pt idx="0">
                  <c:v>HES</c:v>
                </c:pt>
                <c:pt idx="1">
                  <c:v>PRC</c:v>
                </c:pt>
                <c:pt idx="2">
                  <c:v>REC</c:v>
                </c:pt>
                <c:pt idx="3">
                  <c:v>PUB</c:v>
                </c:pt>
                <c:pt idx="4">
                  <c:v>OTH</c:v>
                </c:pt>
              </c:strCache>
            </c:strRef>
          </c:cat>
          <c:val>
            <c:numRef>
              <c:f>uebbneu_Factsheet_W!$F$58:$F$62</c:f>
              <c:numCache>
                <c:formatCode>#0"%"</c:formatCode>
                <c:ptCount val="5"/>
                <c:pt idx="0">
                  <c:v>36.584182435710822</c:v>
                </c:pt>
                <c:pt idx="1">
                  <c:v>23.338185346918973</c:v>
                </c:pt>
                <c:pt idx="2">
                  <c:v>26.880155264434741</c:v>
                </c:pt>
                <c:pt idx="3">
                  <c:v>4.2212518195050945</c:v>
                </c:pt>
                <c:pt idx="4">
                  <c:v>8.9762251334303738</c:v>
                </c:pt>
              </c:numCache>
            </c:numRef>
          </c:val>
          <c:extLst>
            <c:ext xmlns:c16="http://schemas.microsoft.com/office/drawing/2014/chart" uri="{C3380CC4-5D6E-409C-BE32-E72D297353CC}">
              <c16:uniqueId val="{00000005-277F-4C11-91E1-037CC5007E67}"/>
            </c:ext>
          </c:extLst>
        </c:ser>
        <c:dLbls>
          <c:showLegendKey val="0"/>
          <c:showVal val="0"/>
          <c:showCatName val="0"/>
          <c:showSerName val="0"/>
          <c:showPercent val="0"/>
          <c:showBubbleSize val="0"/>
        </c:dLbls>
        <c:gapWidth val="80"/>
        <c:axId val="459586944"/>
        <c:axId val="459601024"/>
      </c:barChart>
      <c:catAx>
        <c:axId val="459586944"/>
        <c:scaling>
          <c:orientation val="maxMin"/>
        </c:scaling>
        <c:delete val="0"/>
        <c:axPos val="l"/>
        <c:numFmt formatCode="General" sourceLinked="1"/>
        <c:majorTickMark val="none"/>
        <c:minorTickMark val="none"/>
        <c:tickLblPos val="nextTo"/>
        <c:spPr>
          <a:ln>
            <a:noFill/>
          </a:ln>
        </c:spPr>
        <c:txPr>
          <a:bodyPr/>
          <a:lstStyle/>
          <a:p>
            <a:pPr>
              <a:defRPr sz="1000"/>
            </a:pPr>
            <a:endParaRPr lang="de-DE"/>
          </a:p>
        </c:txPr>
        <c:crossAx val="459601024"/>
        <c:crosses val="autoZero"/>
        <c:auto val="1"/>
        <c:lblAlgn val="ctr"/>
        <c:lblOffset val="100"/>
        <c:noMultiLvlLbl val="0"/>
      </c:catAx>
      <c:valAx>
        <c:axId val="459601024"/>
        <c:scaling>
          <c:orientation val="minMax"/>
        </c:scaling>
        <c:delete val="0"/>
        <c:axPos val="t"/>
        <c:numFmt formatCode="#0&quot;%&quot;" sourceLinked="1"/>
        <c:majorTickMark val="none"/>
        <c:minorTickMark val="none"/>
        <c:tickLblPos val="nextTo"/>
        <c:crossAx val="459586944"/>
        <c:crosses val="autoZero"/>
        <c:crossBetween val="between"/>
      </c:valAx>
    </c:plotArea>
    <c:plotVisOnly val="1"/>
    <c:dispBlanksAs val="gap"/>
    <c:showDLblsOverMax val="0"/>
  </c:chart>
  <c:spPr>
    <a:ln>
      <a:noFill/>
    </a:ln>
  </c:spPr>
  <c:txPr>
    <a:bodyPr/>
    <a:lstStyle/>
    <a:p>
      <a:pPr>
        <a:defRPr sz="1000">
          <a:latin typeface="+mn-lt"/>
          <a:cs typeface="Arial" panose="020B0604020202020204" pitchFamily="34" charset="0"/>
        </a:defRPr>
      </a:pPr>
      <a:endParaRPr lang="de-DE"/>
    </a:p>
  </c:txPr>
  <c:printSettings>
    <c:headerFooter/>
    <c:pageMargins b="0.78740157499999996" l="0.7" r="0.7" t="0.78740157499999996"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none"/>
          </c:marker>
          <c:dLbls>
            <c:dLbl>
              <c:idx val="0"/>
              <c:layout>
                <c:manualLayout>
                  <c:x val="-4.7701816072318944E-2"/>
                  <c:y val="-3.8204393505253103E-3"/>
                </c:manualLayout>
              </c:layout>
              <c:tx>
                <c:strRef>
                  <c:f>uebb022_Karte_EU27_Eckdaten_Sta!$P$5</c:f>
                  <c:strCache>
                    <c:ptCount val="1"/>
                    <c:pt idx="0">
                      <c:v> 7.409 </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{96A571F1-794B-415F-B750-52B226D48252}</c15:txfldGUID>
                      <c15:f>uebb022_Karte_EU27_Eckdaten_Sta!$P$5</c15:f>
                      <c15:dlblFieldTableCache>
                        <c:ptCount val="1"/>
                        <c:pt idx="0">
                          <c:v> 7.409 </c:v>
                        </c:pt>
                      </c15:dlblFieldTableCache>
                    </c15:dlblFTEntry>
                  </c15:dlblFieldTable>
                  <c15:showDataLabelsRange val="0"/>
                </c:ext>
                <c:ext xmlns:c16="http://schemas.microsoft.com/office/drawing/2014/chart" uri="{C3380CC4-5D6E-409C-BE32-E72D297353CC}">
                  <c16:uniqueId val="{00000000-86E9-458D-BAAF-839807B1851C}"/>
                </c:ext>
              </c:extLst>
            </c:dLbl>
            <c:dLbl>
              <c:idx val="1"/>
              <c:tx>
                <c:strRef>
                  <c:f>uebb022_Karte_EU27_Eckdaten_Sta!$P$6</c:f>
                  <c:strCache>
                    <c:ptCount val="1"/>
                    <c:pt idx="0">
                      <c:v> 804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{09EC842A-7D1E-4AB3-84FD-F4FC3E88DFF2}</c15:txfldGUID>
                      <c15:f>uebb022_Karte_EU27_Eckdaten_Sta!$P$6</c15:f>
                      <c15:dlblFieldTableCache>
                        <c:ptCount val="1"/>
                        <c:pt idx="0">
                          <c:v> 804 </c:v>
                        </c:pt>
                      </c15:dlblFieldTableCache>
                    </c15:dlblFTEntry>
                  </c15:dlblFieldTable>
                  <c15:showDataLabelsRange val="0"/>
                </c:ext>
                <c:ext xmlns:c16="http://schemas.microsoft.com/office/drawing/2014/chart" uri="{C3380CC4-5D6E-409C-BE32-E72D297353CC}">
                  <c16:uniqueId val="{00000001-86E9-458D-BAAF-839807B1851C}"/>
                </c:ext>
              </c:extLst>
            </c:dLbl>
            <c:dLbl>
              <c:idx val="2"/>
              <c:tx>
                <c:strRef>
                  <c:f>uebb022_Karte_EU27_Eckdaten_Sta!$P$7</c:f>
                  <c:strCache>
                    <c:ptCount val="1"/>
                    <c:pt idx="0">
                      <c:v> 3.426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{257A0BCF-55A5-422E-A8F7-4CE8F123069C}</c15:txfldGUID>
                      <c15:f>uebb022_Karte_EU27_Eckdaten_Sta!$P$7</c15:f>
                      <c15:dlblFieldTableCache>
                        <c:ptCount val="1"/>
                        <c:pt idx="0">
                          <c:v> 3.426 </c:v>
                        </c:pt>
                      </c15:dlblFieldTableCache>
                    </c15:dlblFTEntry>
                  </c15:dlblFieldTable>
                  <c15:showDataLabelsRange val="0"/>
                </c:ext>
                <c:ext xmlns:c16="http://schemas.microsoft.com/office/drawing/2014/chart" uri="{C3380CC4-5D6E-409C-BE32-E72D297353CC}">
                  <c16:uniqueId val="{00000002-86E9-458D-BAAF-839807B1851C}"/>
                </c:ext>
              </c:extLst>
            </c:dLbl>
            <c:dLbl>
              <c:idx val="3"/>
              <c:tx>
                <c:strRef>
                  <c:f>uebb022_Karte_EU27_Eckdaten_Sta!$P$8</c:f>
                  <c:strCache>
                    <c:ptCount val="1"/>
                    <c:pt idx="0">
                      <c:v> 15.212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{7718BD7A-2635-4C98-AD9A-133310120AA6}</c15:txfldGUID>
                      <c15:f>uebb022_Karte_EU27_Eckdaten_Sta!$P$8</c15:f>
                      <c15:dlblFieldTableCache>
                        <c:ptCount val="1"/>
                        <c:pt idx="0">
                          <c:v> 15.212 </c:v>
                        </c:pt>
                      </c15:dlblFieldTableCache>
                    </c15:dlblFTEntry>
                  </c15:dlblFieldTable>
                  <c15:showDataLabelsRange val="0"/>
                </c:ext>
                <c:ext xmlns:c16="http://schemas.microsoft.com/office/drawing/2014/chart" uri="{C3380CC4-5D6E-409C-BE32-E72D297353CC}">
                  <c16:uniqueId val="{00000003-86E9-458D-BAAF-839807B1851C}"/>
                </c:ext>
              </c:extLst>
            </c:dLbl>
            <c:dLbl>
              <c:idx val="4"/>
              <c:tx>
                <c:strRef>
                  <c:f>uebb022_Karte_EU27_Eckdaten_Sta!$P$9</c:f>
                  <c:strCache>
                    <c:ptCount val="1"/>
                    <c:pt idx="0">
                      <c:v> 905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{E7CD8E23-FA0F-489F-B6DA-FE1757DB8C99}</c15:txfldGUID>
                      <c15:f>uebb022_Karte_EU27_Eckdaten_Sta!$P$9</c15:f>
                      <c15:dlblFieldTableCache>
                        <c:ptCount val="1"/>
                        <c:pt idx="0">
                          <c:v> 905 </c:v>
                        </c:pt>
                      </c15:dlblFieldTableCache>
                    </c15:dlblFTEntry>
                  </c15:dlblFieldTable>
                  <c15:showDataLabelsRange val="0"/>
                </c:ext>
                <c:ext xmlns:c16="http://schemas.microsoft.com/office/drawing/2014/chart" uri="{C3380CC4-5D6E-409C-BE32-E72D297353CC}">
                  <c16:uniqueId val="{00000004-86E9-458D-BAAF-839807B1851C}"/>
                </c:ext>
              </c:extLst>
            </c:dLbl>
            <c:dLbl>
              <c:idx val="5"/>
              <c:tx>
                <c:strRef>
                  <c:f>uebb022_Karte_EU27_Eckdaten_Sta!$P$10</c:f>
                  <c:strCache>
                    <c:ptCount val="1"/>
                    <c:pt idx="0">
                      <c:v> 3.295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{21A851B9-61FC-4EAC-B3CB-89EF4AE889DA}</c15:txfldGUID>
                      <c15:f>uebb022_Karte_EU27_Eckdaten_Sta!$P$10</c15:f>
                      <c15:dlblFieldTableCache>
                        <c:ptCount val="1"/>
                        <c:pt idx="0">
                          <c:v> 3.295 </c:v>
                        </c:pt>
                      </c15:dlblFieldTableCache>
                    </c15:dlblFTEntry>
                  </c15:dlblFieldTable>
                  <c15:showDataLabelsRange val="0"/>
                </c:ext>
                <c:ext xmlns:c16="http://schemas.microsoft.com/office/drawing/2014/chart" uri="{C3380CC4-5D6E-409C-BE32-E72D297353CC}">
                  <c16:uniqueId val="{00000005-86E9-458D-BAAF-839807B1851C}"/>
                </c:ext>
              </c:extLst>
            </c:dLbl>
            <c:dLbl>
              <c:idx val="6"/>
              <c:tx>
                <c:strRef>
                  <c:f>uebb022_Karte_EU27_Eckdaten_Sta!$P$11</c:f>
                  <c:strCache>
                    <c:ptCount val="1"/>
                    <c:pt idx="0">
                      <c:v> 12.554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{2CC5F53A-990D-4656-AA3B-1618F61320AA}</c15:txfldGUID>
                      <c15:f>uebb022_Karte_EU27_Eckdaten_Sta!$P$11</c15:f>
                      <c15:dlblFieldTableCache>
                        <c:ptCount val="1"/>
                        <c:pt idx="0">
                          <c:v> 12.554 </c:v>
                        </c:pt>
                      </c15:dlblFieldTableCache>
                    </c15:dlblFTEntry>
                  </c15:dlblFieldTable>
                  <c15:showDataLabelsRange val="0"/>
                </c:ext>
                <c:ext xmlns:c16="http://schemas.microsoft.com/office/drawing/2014/chart" uri="{C3380CC4-5D6E-409C-BE32-E72D297353CC}">
                  <c16:uniqueId val="{00000006-86E9-458D-BAAF-839807B1851C}"/>
                </c:ext>
              </c:extLst>
            </c:dLbl>
            <c:dLbl>
              <c:idx val="7"/>
              <c:tx>
                <c:strRef>
                  <c:f>uebb022_Karte_EU27_Eckdaten_Sta!$P$12</c:f>
                  <c:strCache>
                    <c:ptCount val="1"/>
                    <c:pt idx="0">
                      <c:v> 5.879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{F5D92377-8C60-4392-9298-FF491FFA4322}</c15:txfldGUID>
                      <c15:f>uebb022_Karte_EU27_Eckdaten_Sta!$P$12</c15:f>
                      <c15:dlblFieldTableCache>
                        <c:ptCount val="1"/>
                        <c:pt idx="0">
                          <c:v> 5.879 </c:v>
                        </c:pt>
                      </c15:dlblFieldTableCache>
                    </c15:dlblFTEntry>
                  </c15:dlblFieldTable>
                  <c15:showDataLabelsRange val="0"/>
                </c:ext>
                <c:ext xmlns:c16="http://schemas.microsoft.com/office/drawing/2014/chart" uri="{C3380CC4-5D6E-409C-BE32-E72D297353CC}">
                  <c16:uniqueId val="{00000007-86E9-458D-BAAF-839807B1851C}"/>
                </c:ext>
              </c:extLst>
            </c:dLbl>
            <c:dLbl>
              <c:idx val="8"/>
              <c:tx>
                <c:strRef>
                  <c:f>uebb022_Karte_EU27_Eckdaten_Sta!$P$13</c:f>
                  <c:strCache>
                    <c:ptCount val="1"/>
                    <c:pt idx="0">
                      <c:v> 2.518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{E5DA22D7-5239-4146-915B-CB05E45DA2E4}</c15:txfldGUID>
                      <c15:f>uebb022_Karte_EU27_Eckdaten_Sta!$P$13</c15:f>
                      <c15:dlblFieldTableCache>
                        <c:ptCount val="1"/>
                        <c:pt idx="0">
                          <c:v> 2.518 </c:v>
                        </c:pt>
                      </c15:dlblFieldTableCache>
                    </c15:dlblFTEntry>
                  </c15:dlblFieldTable>
                  <c15:showDataLabelsRange val="0"/>
                </c:ext>
                <c:ext xmlns:c16="http://schemas.microsoft.com/office/drawing/2014/chart" uri="{C3380CC4-5D6E-409C-BE32-E72D297353CC}">
                  <c16:uniqueId val="{00000008-86E9-458D-BAAF-839807B1851C}"/>
                </c:ext>
              </c:extLst>
            </c:dLbl>
            <c:dLbl>
              <c:idx val="9"/>
              <c:tx>
                <c:strRef>
                  <c:f>uebb022_Karte_EU27_Eckdaten_Sta!$P$14</c:f>
                  <c:strCache>
                    <c:ptCount val="1"/>
                    <c:pt idx="0">
                      <c:v> 12.816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{60DE7768-D37E-48CF-9BB7-D960754C6B3F}</c15:txfldGUID>
                      <c15:f>uebb022_Karte_EU27_Eckdaten_Sta!$P$14</c15:f>
                      <c15:dlblFieldTableCache>
                        <c:ptCount val="1"/>
                        <c:pt idx="0">
                          <c:v> 12.816 </c:v>
                        </c:pt>
                      </c15:dlblFieldTableCache>
                    </c15:dlblFTEntry>
                  </c15:dlblFieldTable>
                  <c15:showDataLabelsRange val="0"/>
                </c:ext>
                <c:ext xmlns:c16="http://schemas.microsoft.com/office/drawing/2014/chart" uri="{C3380CC4-5D6E-409C-BE32-E72D297353CC}">
                  <c16:uniqueId val="{00000009-86E9-458D-BAAF-839807B1851C}"/>
                </c:ext>
              </c:extLst>
            </c:dLbl>
            <c:dLbl>
              <c:idx val="10"/>
              <c:tx>
                <c:strRef>
                  <c:f>uebb022_Karte_EU27_Eckdaten_Sta!$P$15</c:f>
                  <c:strCache>
                    <c:ptCount val="1"/>
                    <c:pt idx="0">
                      <c:v> 753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{9E9872ED-FD4B-47F4-B668-2FBE59BE8EF8}</c15:txfldGUID>
                      <c15:f>uebb022_Karte_EU27_Eckdaten_Sta!$P$15</c15:f>
                      <c15:dlblFieldTableCache>
                        <c:ptCount val="1"/>
                        <c:pt idx="0">
                          <c:v> 753 </c:v>
                        </c:pt>
                      </c15:dlblFieldTableCache>
                    </c15:dlblFTEntry>
                  </c15:dlblFieldTable>
                  <c15:showDataLabelsRange val="0"/>
                </c:ext>
                <c:ext xmlns:c16="http://schemas.microsoft.com/office/drawing/2014/chart" uri="{C3380CC4-5D6E-409C-BE32-E72D297353CC}">
                  <c16:uniqueId val="{0000000A-86E9-458D-BAAF-839807B1851C}"/>
                </c:ext>
              </c:extLst>
            </c:dLbl>
            <c:dLbl>
              <c:idx val="11"/>
              <c:tx>
                <c:strRef>
                  <c:f>uebb022_Karte_EU27_Eckdaten_Sta!$P$16</c:f>
                  <c:strCache>
                    <c:ptCount val="1"/>
                    <c:pt idx="0">
                      <c:v> 493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{18585507-033D-4E04-9E81-F52FB4A47224}</c15:txfldGUID>
                      <c15:f>uebb022_Karte_EU27_Eckdaten_Sta!$P$16</c15:f>
                      <c15:dlblFieldTableCache>
                        <c:ptCount val="1"/>
                        <c:pt idx="0">
                          <c:v> 493 </c:v>
                        </c:pt>
                      </c15:dlblFieldTableCache>
                    </c15:dlblFTEntry>
                  </c15:dlblFieldTable>
                  <c15:showDataLabelsRange val="0"/>
                </c:ext>
                <c:ext xmlns:c16="http://schemas.microsoft.com/office/drawing/2014/chart" uri="{C3380CC4-5D6E-409C-BE32-E72D297353CC}">
                  <c16:uniqueId val="{0000000B-86E9-458D-BAAF-839807B1851C}"/>
                </c:ext>
              </c:extLst>
            </c:dLbl>
            <c:dLbl>
              <c:idx val="12"/>
              <c:tx>
                <c:strRef>
                  <c:f>uebb022_Karte_EU27_Eckdaten_Sta!$P$17</c:f>
                  <c:strCache>
                    <c:ptCount val="1"/>
                    <c:pt idx="0">
                      <c:v> 732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{E7E891ED-BDA2-4154-B48B-FE5D3D3B15B9}</c15:txfldGUID>
                      <c15:f>uebb022_Karte_EU27_Eckdaten_Sta!$P$17</c15:f>
                      <c15:dlblFieldTableCache>
                        <c:ptCount val="1"/>
                        <c:pt idx="0">
                          <c:v> 732 </c:v>
                        </c:pt>
                      </c15:dlblFieldTableCache>
                    </c15:dlblFTEntry>
                  </c15:dlblFieldTable>
                  <c15:showDataLabelsRange val="0"/>
                </c:ext>
                <c:ext xmlns:c16="http://schemas.microsoft.com/office/drawing/2014/chart" uri="{C3380CC4-5D6E-409C-BE32-E72D297353CC}">
                  <c16:uniqueId val="{0000000C-86E9-458D-BAAF-839807B1851C}"/>
                </c:ext>
              </c:extLst>
            </c:dLbl>
            <c:dLbl>
              <c:idx val="13"/>
              <c:tx>
                <c:strRef>
                  <c:f>uebb022_Karte_EU27_Eckdaten_Sta!$P$18</c:f>
                  <c:strCache>
                    <c:ptCount val="1"/>
                    <c:pt idx="0">
                      <c:v> 633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{7DFBF475-5549-472E-8FF4-CAD1DF118DE2}</c15:txfldGUID>
                      <c15:f>uebb022_Karte_EU27_Eckdaten_Sta!$P$18</c15:f>
                      <c15:dlblFieldTableCache>
                        <c:ptCount val="1"/>
                        <c:pt idx="0">
                          <c:v> 633 </c:v>
                        </c:pt>
                      </c15:dlblFieldTableCache>
                    </c15:dlblFTEntry>
                  </c15:dlblFieldTable>
                  <c15:showDataLabelsRange val="0"/>
                </c:ext>
                <c:ext xmlns:c16="http://schemas.microsoft.com/office/drawing/2014/chart" uri="{C3380CC4-5D6E-409C-BE32-E72D297353CC}">
                  <c16:uniqueId val="{0000000D-86E9-458D-BAAF-839807B1851C}"/>
                </c:ext>
              </c:extLst>
            </c:dLbl>
            <c:dLbl>
              <c:idx val="14"/>
              <c:tx>
                <c:strRef>
                  <c:f>uebb022_Karte_EU27_Eckdaten_Sta!$P$19</c:f>
                  <c:strCache>
                    <c:ptCount val="1"/>
                    <c:pt idx="0">
                      <c:v> 281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{C8EBF5D2-3D2A-46B9-882A-24EC036D0937}</c15:txfldGUID>
                      <c15:f>uebb022_Karte_EU27_Eckdaten_Sta!$P$19</c15:f>
                      <c15:dlblFieldTableCache>
                        <c:ptCount val="1"/>
                        <c:pt idx="0">
                          <c:v> 281 </c:v>
                        </c:pt>
                      </c15:dlblFieldTableCache>
                    </c15:dlblFTEntry>
                  </c15:dlblFieldTable>
                  <c15:showDataLabelsRange val="0"/>
                </c:ext>
                <c:ext xmlns:c16="http://schemas.microsoft.com/office/drawing/2014/chart" uri="{C3380CC4-5D6E-409C-BE32-E72D297353CC}">
                  <c16:uniqueId val="{0000000E-86E9-458D-BAAF-839807B1851C}"/>
                </c:ext>
              </c:extLst>
            </c:dLbl>
            <c:dLbl>
              <c:idx val="15"/>
              <c:tx>
                <c:strRef>
                  <c:f>uebb022_Karte_EU27_Eckdaten_Sta!$P$20</c:f>
                  <c:strCache>
                    <c:ptCount val="1"/>
                    <c:pt idx="0">
                      <c:v> 8.546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{57C20A58-7504-46C4-B25B-CC1DFBBCAB26}</c15:txfldGUID>
                      <c15:f>uebb022_Karte_EU27_Eckdaten_Sta!$P$20</c15:f>
                      <c15:dlblFieldTableCache>
                        <c:ptCount val="1"/>
                        <c:pt idx="0">
                          <c:v> 8.546 </c:v>
                        </c:pt>
                      </c15:dlblFieldTableCache>
                    </c15:dlblFTEntry>
                  </c15:dlblFieldTable>
                  <c15:showDataLabelsRange val="0"/>
                </c:ext>
                <c:ext xmlns:c16="http://schemas.microsoft.com/office/drawing/2014/chart" uri="{C3380CC4-5D6E-409C-BE32-E72D297353CC}">
                  <c16:uniqueId val="{0000000F-86E9-458D-BAAF-839807B1851C}"/>
                </c:ext>
              </c:extLst>
            </c:dLbl>
            <c:dLbl>
              <c:idx val="16"/>
              <c:tx>
                <c:strRef>
                  <c:f>uebb022_Karte_EU27_Eckdaten_Sta!$P$21</c:f>
                  <c:strCache>
                    <c:ptCount val="1"/>
                    <c:pt idx="0">
                      <c:v> 3.919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{EF0851BB-FCA5-4A9E-B553-5800163939B9}</c15:txfldGUID>
                      <c15:f>uebb022_Karte_EU27_Eckdaten_Sta!$P$21</c15:f>
                      <c15:dlblFieldTableCache>
                        <c:ptCount val="1"/>
                        <c:pt idx="0">
                          <c:v> 3.919 </c:v>
                        </c:pt>
                      </c15:dlblFieldTableCache>
                    </c15:dlblFTEntry>
                  </c15:dlblFieldTable>
                  <c15:showDataLabelsRange val="0"/>
                </c:ext>
                <c:ext xmlns:c16="http://schemas.microsoft.com/office/drawing/2014/chart" uri="{C3380CC4-5D6E-409C-BE32-E72D297353CC}">
                  <c16:uniqueId val="{00000010-86E9-458D-BAAF-839807B1851C}"/>
                </c:ext>
              </c:extLst>
            </c:dLbl>
            <c:dLbl>
              <c:idx val="17"/>
              <c:tx>
                <c:strRef>
                  <c:f>uebb022_Karte_EU27_Eckdaten_Sta!$P$22</c:f>
                  <c:strCache>
                    <c:ptCount val="1"/>
                    <c:pt idx="0">
                      <c:v> 2.416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{795921D6-8831-4A9D-823D-B17B0CA89940}</c15:txfldGUID>
                      <c15:f>uebb022_Karte_EU27_Eckdaten_Sta!$P$22</c15:f>
                      <c15:dlblFieldTableCache>
                        <c:ptCount val="1"/>
                        <c:pt idx="0">
                          <c:v> 2.416 </c:v>
                        </c:pt>
                      </c15:dlblFieldTableCache>
                    </c15:dlblFTEntry>
                  </c15:dlblFieldTable>
                  <c15:showDataLabelsRange val="0"/>
                </c:ext>
                <c:ext xmlns:c16="http://schemas.microsoft.com/office/drawing/2014/chart" uri="{C3380CC4-5D6E-409C-BE32-E72D297353CC}">
                  <c16:uniqueId val="{00000011-86E9-458D-BAAF-839807B1851C}"/>
                </c:ext>
              </c:extLst>
            </c:dLbl>
            <c:dLbl>
              <c:idx val="18"/>
              <c:tx>
                <c:strRef>
                  <c:f>uebb022_Karte_EU27_Eckdaten_Sta!$P$23</c:f>
                  <c:strCache>
                    <c:ptCount val="1"/>
                    <c:pt idx="0">
                      <c:v> 3.895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{3B3B3B6E-899F-4DC0-87AE-6863BF272246}</c15:txfldGUID>
                      <c15:f>uebb022_Karte_EU27_Eckdaten_Sta!$P$23</c15:f>
                      <c15:dlblFieldTableCache>
                        <c:ptCount val="1"/>
                        <c:pt idx="0">
                          <c:v> 3.895 </c:v>
                        </c:pt>
                      </c15:dlblFieldTableCache>
                    </c15:dlblFTEntry>
                  </c15:dlblFieldTable>
                  <c15:showDataLabelsRange val="0"/>
                </c:ext>
                <c:ext xmlns:c16="http://schemas.microsoft.com/office/drawing/2014/chart" uri="{C3380CC4-5D6E-409C-BE32-E72D297353CC}">
                  <c16:uniqueId val="{00000012-86E9-458D-BAAF-839807B1851C}"/>
                </c:ext>
              </c:extLst>
            </c:dLbl>
            <c:dLbl>
              <c:idx val="19"/>
              <c:tx>
                <c:strRef>
                  <c:f>uebb022_Karte_EU27_Eckdaten_Sta!$P$24</c:f>
                  <c:strCache>
                    <c:ptCount val="1"/>
                    <c:pt idx="0">
                      <c:v> 1.428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{60A92BFE-B808-4136-9494-EB87AFD81AF1}</c15:txfldGUID>
                      <c15:f>uebb022_Karte_EU27_Eckdaten_Sta!$P$24</c15:f>
                      <c15:dlblFieldTableCache>
                        <c:ptCount val="1"/>
                        <c:pt idx="0">
                          <c:v> 1.428 </c:v>
                        </c:pt>
                      </c15:dlblFieldTableCache>
                    </c15:dlblFTEntry>
                  </c15:dlblFieldTable>
                  <c15:showDataLabelsRange val="0"/>
                </c:ext>
                <c:ext xmlns:c16="http://schemas.microsoft.com/office/drawing/2014/chart" uri="{C3380CC4-5D6E-409C-BE32-E72D297353CC}">
                  <c16:uniqueId val="{00000013-86E9-458D-BAAF-839807B1851C}"/>
                </c:ext>
              </c:extLst>
            </c:dLbl>
            <c:dLbl>
              <c:idx val="20"/>
              <c:tx>
                <c:strRef>
                  <c:f>uebb022_Karte_EU27_Eckdaten_Sta!$P$25</c:f>
                  <c:strCache>
                    <c:ptCount val="1"/>
                    <c:pt idx="0">
                      <c:v> 3.893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{CEFA7DA3-22B1-41FC-8C65-FE37A6E19795}</c15:txfldGUID>
                      <c15:f>uebb022_Karte_EU27_Eckdaten_Sta!$P$25</c15:f>
                      <c15:dlblFieldTableCache>
                        <c:ptCount val="1"/>
                        <c:pt idx="0">
                          <c:v> 3.893 </c:v>
                        </c:pt>
                      </c15:dlblFieldTableCache>
                    </c15:dlblFTEntry>
                  </c15:dlblFieldTable>
                  <c15:showDataLabelsRange val="0"/>
                </c:ext>
                <c:ext xmlns:c16="http://schemas.microsoft.com/office/drawing/2014/chart" uri="{C3380CC4-5D6E-409C-BE32-E72D297353CC}">
                  <c16:uniqueId val="{00000014-86E9-458D-BAAF-839807B1851C}"/>
                </c:ext>
              </c:extLst>
            </c:dLbl>
            <c:dLbl>
              <c:idx val="21"/>
              <c:tx>
                <c:strRef>
                  <c:f>uebb022_Karte_EU27_Eckdaten_Sta!$P$26</c:f>
                  <c:strCache>
                    <c:ptCount val="1"/>
                    <c:pt idx="0">
                      <c:v> 591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{6D0146B7-3CA4-4416-878B-4C993FE772FE}</c15:txfldGUID>
                      <c15:f>uebb022_Karte_EU27_Eckdaten_Sta!$P$26</c15:f>
                      <c15:dlblFieldTableCache>
                        <c:ptCount val="1"/>
                        <c:pt idx="0">
                          <c:v> 591 </c:v>
                        </c:pt>
                      </c15:dlblFieldTableCache>
                    </c15:dlblFTEntry>
                  </c15:dlblFieldTable>
                  <c15:showDataLabelsRange val="0"/>
                </c:ext>
                <c:ext xmlns:c16="http://schemas.microsoft.com/office/drawing/2014/chart" uri="{C3380CC4-5D6E-409C-BE32-E72D297353CC}">
                  <c16:uniqueId val="{00000015-86E9-458D-BAAF-839807B1851C}"/>
                </c:ext>
              </c:extLst>
            </c:dLbl>
            <c:dLbl>
              <c:idx val="22"/>
              <c:tx>
                <c:strRef>
                  <c:f>uebb022_Karte_EU27_Eckdaten_Sta!$P$27</c:f>
                  <c:strCache>
                    <c:ptCount val="1"/>
                    <c:pt idx="0">
                      <c:v> 1.417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{E5B2521C-42AC-4E36-8666-7706D52D98D4}</c15:txfldGUID>
                      <c15:f>uebb022_Karte_EU27_Eckdaten_Sta!$P$27</c15:f>
                      <c15:dlblFieldTableCache>
                        <c:ptCount val="1"/>
                        <c:pt idx="0">
                          <c:v> 1.417 </c:v>
                        </c:pt>
                      </c15:dlblFieldTableCache>
                    </c15:dlblFTEntry>
                  </c15:dlblFieldTable>
                  <c15:showDataLabelsRange val="0"/>
                </c:ext>
                <c:ext xmlns:c16="http://schemas.microsoft.com/office/drawing/2014/chart" uri="{C3380CC4-5D6E-409C-BE32-E72D297353CC}">
                  <c16:uniqueId val="{00000016-86E9-458D-BAAF-839807B1851C}"/>
                </c:ext>
              </c:extLst>
            </c:dLbl>
            <c:dLbl>
              <c:idx val="23"/>
              <c:tx>
                <c:strRef>
                  <c:f>uebb022_Karte_EU27_Eckdaten_Sta!$P$28</c:f>
                  <c:strCache>
                    <c:ptCount val="1"/>
                    <c:pt idx="0">
                      <c:v> 15.024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{48913DE2-9154-488B-90F9-61BED0A49651}</c15:txfldGUID>
                      <c15:f>uebb022_Karte_EU27_Eckdaten_Sta!$P$28</c15:f>
                      <c15:dlblFieldTableCache>
                        <c:ptCount val="1"/>
                        <c:pt idx="0">
                          <c:v> 15.024 </c:v>
                        </c:pt>
                      </c15:dlblFieldTableCache>
                    </c15:dlblFTEntry>
                  </c15:dlblFieldTable>
                  <c15:showDataLabelsRange val="0"/>
                </c:ext>
                <c:ext xmlns:c16="http://schemas.microsoft.com/office/drawing/2014/chart" uri="{C3380CC4-5D6E-409C-BE32-E72D297353CC}">
                  <c16:uniqueId val="{00000017-86E9-458D-BAAF-839807B1851C}"/>
                </c:ext>
              </c:extLst>
            </c:dLbl>
            <c:dLbl>
              <c:idx val="24"/>
              <c:tx>
                <c:strRef>
                  <c:f>uebb022_Karte_EU27_Eckdaten_Sta!$P$29</c:f>
                  <c:strCache>
                    <c:ptCount val="1"/>
                    <c:pt idx="0">
                      <c:v> 1.896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{F6F8B362-8556-4084-B6DA-49162591E682}</c15:txfldGUID>
                      <c15:f>uebb022_Karte_EU27_Eckdaten_Sta!$P$29</c15:f>
                      <c15:dlblFieldTableCache>
                        <c:ptCount val="1"/>
                        <c:pt idx="0">
                          <c:v> 1.896 </c:v>
                        </c:pt>
                      </c15:dlblFieldTableCache>
                    </c15:dlblFTEntry>
                  </c15:dlblFieldTable>
                  <c15:showDataLabelsRange val="0"/>
                </c:ext>
                <c:ext xmlns:c16="http://schemas.microsoft.com/office/drawing/2014/chart" uri="{C3380CC4-5D6E-409C-BE32-E72D297353CC}">
                  <c16:uniqueId val="{00000018-86E9-458D-BAAF-839807B1851C}"/>
                </c:ext>
              </c:extLst>
            </c:dLbl>
            <c:dLbl>
              <c:idx val="25"/>
              <c:tx>
                <c:strRef>
                  <c:f>uebb022_Karte_EU27_Eckdaten_Sta!$P$30</c:f>
                  <c:strCache>
                    <c:ptCount val="1"/>
                    <c:pt idx="0">
                      <c:v> 1.089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{FD278058-4BF1-443D-99AD-D59A8D9BDAD6}</c15:txfldGUID>
                      <c15:f>uebb022_Karte_EU27_Eckdaten_Sta!$P$30</c15:f>
                      <c15:dlblFieldTableCache>
                        <c:ptCount val="1"/>
                        <c:pt idx="0">
                          <c:v> 1.089 </c:v>
                        </c:pt>
                      </c15:dlblFieldTableCache>
                    </c15:dlblFTEntry>
                  </c15:dlblFieldTable>
                  <c15:showDataLabelsRange val="0"/>
                </c:ext>
                <c:ext xmlns:c16="http://schemas.microsoft.com/office/drawing/2014/chart" uri="{C3380CC4-5D6E-409C-BE32-E72D297353CC}">
                  <c16:uniqueId val="{00000019-86E9-458D-BAAF-839807B1851C}"/>
                </c:ext>
              </c:extLst>
            </c:dLbl>
            <c:dLbl>
              <c:idx val="26"/>
              <c:tx>
                <c:strRef>
                  <c:f>uebb022_Karte_EU27_Eckdaten_Sta!$P$31</c:f>
                  <c:strCache>
                    <c:ptCount val="1"/>
                    <c:pt idx="0">
                      <c:v> 1.204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{2CE80C5F-F4D9-4A63-990E-9D702639B76C}</c15:txfldGUID>
                      <c15:f>uebb022_Karte_EU27_Eckdaten_Sta!$P$31</c15:f>
                      <c15:dlblFieldTableCache>
                        <c:ptCount val="1"/>
                        <c:pt idx="0">
                          <c:v> 1.204 </c:v>
                        </c:pt>
                      </c15:dlblFieldTableCache>
                    </c15:dlblFTEntry>
                  </c15:dlblFieldTable>
                  <c15:showDataLabelsRange val="0"/>
                </c:ext>
                <c:ext xmlns:c16="http://schemas.microsoft.com/office/drawing/2014/chart" uri="{C3380CC4-5D6E-409C-BE32-E72D297353CC}">
                  <c16:uniqueId val="{0000001A-86E9-458D-BAAF-839807B1851C}"/>
                </c:ext>
              </c:extLst>
            </c:dLbl>
            <c:dLbl>
              <c:idx val="27"/>
              <c:tx>
                <c:strRef>
                  <c:f>uebb022_Karte_EU27_Eckdaten_Sta!$P$31</c:f>
                  <c:strCache>
                    <c:ptCount val="1"/>
                    <c:pt idx="0">
                      <c:v> 1.204 </c:v>
                    </c:pt>
                  </c:strCache>
                </c:strRef>
              </c:tx>
              <c:dLblPos val="ctr"/>
              <c:showLegendKey val="0"/>
              <c:showVal val="1"/>
              <c:showCatName val="0"/>
              <c:showSerName val="0"/>
              <c:showPercent val="0"/>
              <c:showBubbleSize val="0"/>
              <c:extLst>
                <c:ext xmlns:c15="http://schemas.microsoft.com/office/drawing/2012/chart" uri="{CE6537A1-D6FC-4f65-9D91-7224C49458BB}">
                  <c15:dlblFieldTable>
                    <c15:dlblFTEntry>
                      <c15:txfldGUID>{0CA30214-8B3A-4798-A6BE-6B4F74AEAC56}</c15:txfldGUID>
                      <c15:f>uebb022_Karte_EU27_Eckdaten_Sta!$P$31</c15:f>
                      <c15:dlblFieldTableCache>
                        <c:ptCount val="1"/>
                        <c:pt idx="0">
                          <c:v> 1.204 </c:v>
                        </c:pt>
                      </c15:dlblFieldTableCache>
                    </c15:dlblFTEntry>
                  </c15:dlblFieldTable>
                  <c15:showDataLabelsRange val="0"/>
                </c:ext>
                <c:ext xmlns:c16="http://schemas.microsoft.com/office/drawing/2014/chart" uri="{C3380CC4-5D6E-409C-BE32-E72D297353CC}">
                  <c16:uniqueId val="{0000001B-86E9-458D-BAAF-839807B1851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uebb022_Karte_EU27_Eckdaten_Sta!$N$5:$N$31</c:f>
              <c:numCache>
                <c:formatCode>General</c:formatCode>
                <c:ptCount val="27"/>
                <c:pt idx="0">
                  <c:v>9.8000000000000007</c:v>
                </c:pt>
                <c:pt idx="1">
                  <c:v>22</c:v>
                </c:pt>
                <c:pt idx="2">
                  <c:v>12.5</c:v>
                </c:pt>
                <c:pt idx="3">
                  <c:v>13</c:v>
                </c:pt>
                <c:pt idx="4">
                  <c:v>22.5</c:v>
                </c:pt>
                <c:pt idx="5">
                  <c:v>22</c:v>
                </c:pt>
                <c:pt idx="6">
                  <c:v>8.1</c:v>
                </c:pt>
                <c:pt idx="7">
                  <c:v>20.2</c:v>
                </c:pt>
                <c:pt idx="8">
                  <c:v>2.2000000000000002</c:v>
                </c:pt>
                <c:pt idx="9">
                  <c:v>14.3</c:v>
                </c:pt>
                <c:pt idx="10">
                  <c:v>16.2</c:v>
                </c:pt>
                <c:pt idx="11">
                  <c:v>22.5</c:v>
                </c:pt>
                <c:pt idx="12">
                  <c:v>21.5</c:v>
                </c:pt>
                <c:pt idx="13">
                  <c:v>10.5</c:v>
                </c:pt>
                <c:pt idx="14">
                  <c:v>15.7</c:v>
                </c:pt>
                <c:pt idx="15">
                  <c:v>10.1</c:v>
                </c:pt>
                <c:pt idx="16">
                  <c:v>15.7</c:v>
                </c:pt>
                <c:pt idx="17">
                  <c:v>19</c:v>
                </c:pt>
                <c:pt idx="18">
                  <c:v>1.8</c:v>
                </c:pt>
                <c:pt idx="19">
                  <c:v>22</c:v>
                </c:pt>
                <c:pt idx="20">
                  <c:v>16</c:v>
                </c:pt>
                <c:pt idx="21">
                  <c:v>19</c:v>
                </c:pt>
                <c:pt idx="22">
                  <c:v>15.8</c:v>
                </c:pt>
                <c:pt idx="23">
                  <c:v>4.5</c:v>
                </c:pt>
                <c:pt idx="24">
                  <c:v>15.8</c:v>
                </c:pt>
                <c:pt idx="25">
                  <c:v>18.5</c:v>
                </c:pt>
                <c:pt idx="26">
                  <c:v>27.1</c:v>
                </c:pt>
              </c:numCache>
            </c:numRef>
          </c:xVal>
          <c:yVal>
            <c:numRef>
              <c:f>uebb022_Karte_EU27_Eckdaten_Sta!$O$5:$O$31</c:f>
              <c:numCache>
                <c:formatCode>General</c:formatCode>
                <c:ptCount val="27"/>
                <c:pt idx="0">
                  <c:v>12.9</c:v>
                </c:pt>
                <c:pt idx="1">
                  <c:v>6.5</c:v>
                </c:pt>
                <c:pt idx="2">
                  <c:v>17.3</c:v>
                </c:pt>
                <c:pt idx="3">
                  <c:v>13.5</c:v>
                </c:pt>
                <c:pt idx="4">
                  <c:v>19.399999999999999</c:v>
                </c:pt>
                <c:pt idx="5">
                  <c:v>22</c:v>
                </c:pt>
                <c:pt idx="6">
                  <c:v>10</c:v>
                </c:pt>
                <c:pt idx="7">
                  <c:v>4</c:v>
                </c:pt>
                <c:pt idx="8">
                  <c:v>15</c:v>
                </c:pt>
                <c:pt idx="9">
                  <c:v>7</c:v>
                </c:pt>
                <c:pt idx="10">
                  <c:v>8</c:v>
                </c:pt>
                <c:pt idx="11">
                  <c:v>18</c:v>
                </c:pt>
                <c:pt idx="12">
                  <c:v>16.5</c:v>
                </c:pt>
                <c:pt idx="13">
                  <c:v>12.4</c:v>
                </c:pt>
                <c:pt idx="14">
                  <c:v>1</c:v>
                </c:pt>
                <c:pt idx="15">
                  <c:v>14.2</c:v>
                </c:pt>
                <c:pt idx="16">
                  <c:v>10.5</c:v>
                </c:pt>
                <c:pt idx="17">
                  <c:v>14</c:v>
                </c:pt>
                <c:pt idx="18">
                  <c:v>4.5</c:v>
                </c:pt>
                <c:pt idx="19">
                  <c:v>9.3000000000000007</c:v>
                </c:pt>
                <c:pt idx="20">
                  <c:v>22</c:v>
                </c:pt>
                <c:pt idx="21">
                  <c:v>11.5</c:v>
                </c:pt>
                <c:pt idx="22">
                  <c:v>9.4</c:v>
                </c:pt>
                <c:pt idx="23">
                  <c:v>4.5</c:v>
                </c:pt>
                <c:pt idx="24">
                  <c:v>12.5</c:v>
                </c:pt>
                <c:pt idx="25">
                  <c:v>10</c:v>
                </c:pt>
                <c:pt idx="26">
                  <c:v>0.6</c:v>
                </c:pt>
              </c:numCache>
            </c:numRef>
          </c:yVal>
          <c:smooth val="0"/>
          <c:extLst>
            <c:ext xmlns:c16="http://schemas.microsoft.com/office/drawing/2014/chart" uri="{C3380CC4-5D6E-409C-BE32-E72D297353CC}">
              <c16:uniqueId val="{0000001C-86E9-458D-BAAF-839807B1851C}"/>
            </c:ext>
          </c:extLst>
        </c:ser>
        <c:dLbls>
          <c:showLegendKey val="0"/>
          <c:showVal val="0"/>
          <c:showCatName val="0"/>
          <c:showSerName val="0"/>
          <c:showPercent val="0"/>
          <c:showBubbleSize val="0"/>
        </c:dLbls>
        <c:axId val="303898624"/>
        <c:axId val="303900160"/>
      </c:scatterChart>
      <c:valAx>
        <c:axId val="303898624"/>
        <c:scaling>
          <c:orientation val="minMax"/>
          <c:max val="30"/>
          <c:min val="0"/>
        </c:scaling>
        <c:delete val="0"/>
        <c:axPos val="b"/>
        <c:numFmt formatCode="General" sourceLinked="1"/>
        <c:majorTickMark val="none"/>
        <c:minorTickMark val="none"/>
        <c:tickLblPos val="none"/>
        <c:spPr>
          <a:ln>
            <a:noFill/>
          </a:ln>
        </c:spPr>
        <c:crossAx val="303900160"/>
        <c:crosses val="autoZero"/>
        <c:crossBetween val="midCat"/>
      </c:valAx>
      <c:valAx>
        <c:axId val="303900160"/>
        <c:scaling>
          <c:orientation val="minMax"/>
          <c:max val="30"/>
          <c:min val="0"/>
        </c:scaling>
        <c:delete val="0"/>
        <c:axPos val="l"/>
        <c:numFmt formatCode="General" sourceLinked="1"/>
        <c:majorTickMark val="none"/>
        <c:minorTickMark val="none"/>
        <c:tickLblPos val="none"/>
        <c:spPr>
          <a:ln>
            <a:noFill/>
          </a:ln>
        </c:spPr>
        <c:crossAx val="303898624"/>
        <c:crosses val="autoZero"/>
        <c:crossBetween val="midCat"/>
      </c:valAx>
      <c:spPr>
        <a:blipFill>
          <a:blip xmlns:r="http://schemas.openxmlformats.org/officeDocument/2006/relationships" r:embed="rId1"/>
          <a:stretch>
            <a:fillRect/>
          </a:stretch>
        </a:blipFill>
      </c:spPr>
    </c:plotArea>
    <c:plotVisOnly val="1"/>
    <c:dispBlanksAs val="gap"/>
    <c:showDLblsOverMax val="0"/>
  </c:chart>
  <c:spPr>
    <a:ln>
      <a:noFill/>
    </a:ln>
  </c:spPr>
  <c:txPr>
    <a:bodyPr/>
    <a:lstStyle/>
    <a:p>
      <a:pPr>
        <a:defRPr sz="1050"/>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058867382853109E-2"/>
          <c:y val="0.11666666666666667"/>
          <c:w val="0.93420791638039336"/>
          <c:h val="0.81356824146981632"/>
        </c:manualLayout>
      </c:layout>
      <c:barChart>
        <c:barDir val="col"/>
        <c:grouping val="clustered"/>
        <c:varyColors val="0"/>
        <c:ser>
          <c:idx val="0"/>
          <c:order val="0"/>
          <c:tx>
            <c:strRef>
              <c:f>uebb24_Betanteile_EU27!$F$35</c:f>
              <c:strCache>
                <c:ptCount val="1"/>
                <c:pt idx="0">
                  <c:v>Anteil an Beteiligungen</c:v>
                </c:pt>
              </c:strCache>
            </c:strRef>
          </c:tx>
          <c:spPr>
            <a:solidFill>
              <a:schemeClr val="accent1"/>
            </a:solidFill>
            <a:ln>
              <a:solidFill>
                <a:schemeClr val="bg1"/>
              </a:solidFill>
            </a:ln>
          </c:spPr>
          <c:invertIfNegative val="0"/>
          <c:cat>
            <c:strRef>
              <c:f>uebb24_Betanteile_EU27!$E$36:$E$62</c:f>
              <c:strCache>
                <c:ptCount val="27"/>
                <c:pt idx="0">
                  <c:v>DE</c:v>
                </c:pt>
                <c:pt idx="1">
                  <c:v>ES</c:v>
                </c:pt>
                <c:pt idx="2">
                  <c:v>IT</c:v>
                </c:pt>
                <c:pt idx="3">
                  <c:v>FR</c:v>
                </c:pt>
                <c:pt idx="4">
                  <c:v>NL</c:v>
                </c:pt>
                <c:pt idx="5">
                  <c:v>BE</c:v>
                </c:pt>
                <c:pt idx="6">
                  <c:v>EL</c:v>
                </c:pt>
                <c:pt idx="7">
                  <c:v>AT</c:v>
                </c:pt>
                <c:pt idx="8">
                  <c:v>PT</c:v>
                </c:pt>
                <c:pt idx="9">
                  <c:v>SE</c:v>
                </c:pt>
                <c:pt idx="10">
                  <c:v>DK</c:v>
                </c:pt>
                <c:pt idx="11">
                  <c:v>FI</c:v>
                </c:pt>
                <c:pt idx="12">
                  <c:v>IE</c:v>
                </c:pt>
                <c:pt idx="13">
                  <c:v>PL</c:v>
                </c:pt>
                <c:pt idx="14">
                  <c:v>CZ</c:v>
                </c:pt>
                <c:pt idx="15">
                  <c:v>RO</c:v>
                </c:pt>
                <c:pt idx="16">
                  <c:v>SI</c:v>
                </c:pt>
                <c:pt idx="17">
                  <c:v>CY</c:v>
                </c:pt>
                <c:pt idx="18">
                  <c:v>HU</c:v>
                </c:pt>
                <c:pt idx="19">
                  <c:v>EE</c:v>
                </c:pt>
                <c:pt idx="20">
                  <c:v>BG</c:v>
                </c:pt>
                <c:pt idx="21">
                  <c:v>HR</c:v>
                </c:pt>
                <c:pt idx="22">
                  <c:v>LT</c:v>
                </c:pt>
                <c:pt idx="23">
                  <c:v>LU</c:v>
                </c:pt>
                <c:pt idx="24">
                  <c:v>SK</c:v>
                </c:pt>
                <c:pt idx="25">
                  <c:v>LV</c:v>
                </c:pt>
                <c:pt idx="26">
                  <c:v>MT</c:v>
                </c:pt>
              </c:strCache>
            </c:strRef>
          </c:cat>
          <c:val>
            <c:numRef>
              <c:f>uebb24_Betanteile_EU27!$F$36:$F$62</c:f>
              <c:numCache>
                <c:formatCode>0.0%</c:formatCode>
                <c:ptCount val="27"/>
                <c:pt idx="0">
                  <c:v>0.13458612025338854</c:v>
                </c:pt>
                <c:pt idx="1">
                  <c:v>0.13292281558551863</c:v>
                </c:pt>
                <c:pt idx="2">
                  <c:v>0.11338783310330183</c:v>
                </c:pt>
                <c:pt idx="3">
                  <c:v>0.11106982340658952</c:v>
                </c:pt>
                <c:pt idx="4">
                  <c:v>7.5609583466043809E-2</c:v>
                </c:pt>
                <c:pt idx="5">
                  <c:v>6.5550129171532717E-2</c:v>
                </c:pt>
                <c:pt idx="6">
                  <c:v>5.2013660331953142E-2</c:v>
                </c:pt>
                <c:pt idx="7">
                  <c:v>3.4672824432883886E-2</c:v>
                </c:pt>
                <c:pt idx="8">
                  <c:v>3.4460487666772836E-2</c:v>
                </c:pt>
                <c:pt idx="9">
                  <c:v>3.444279293626358E-2</c:v>
                </c:pt>
                <c:pt idx="10">
                  <c:v>3.031107336235269E-2</c:v>
                </c:pt>
                <c:pt idx="11">
                  <c:v>2.9152068513996533E-2</c:v>
                </c:pt>
                <c:pt idx="12">
                  <c:v>2.227766571115122E-2</c:v>
                </c:pt>
                <c:pt idx="13">
                  <c:v>2.1375234455179248E-2</c:v>
                </c:pt>
                <c:pt idx="14">
                  <c:v>1.6774604522773118E-2</c:v>
                </c:pt>
                <c:pt idx="15">
                  <c:v>1.2634037583607602E-2</c:v>
                </c:pt>
                <c:pt idx="16">
                  <c:v>1.2536716565806703E-2</c:v>
                </c:pt>
                <c:pt idx="17">
                  <c:v>1.0652227766571116E-2</c:v>
                </c:pt>
                <c:pt idx="18">
                  <c:v>9.6347807622889897E-3</c:v>
                </c:pt>
                <c:pt idx="19">
                  <c:v>8.0068655554375902E-3</c:v>
                </c:pt>
                <c:pt idx="20">
                  <c:v>7.1132816647202467E-3</c:v>
                </c:pt>
                <c:pt idx="21">
                  <c:v>6.6620660367342609E-3</c:v>
                </c:pt>
                <c:pt idx="22">
                  <c:v>6.4762713663870895E-3</c:v>
                </c:pt>
                <c:pt idx="23">
                  <c:v>5.6003822061790002E-3</c:v>
                </c:pt>
                <c:pt idx="24">
                  <c:v>5.2287928654846582E-3</c:v>
                </c:pt>
                <c:pt idx="25">
                  <c:v>4.361751070531196E-3</c:v>
                </c:pt>
                <c:pt idx="26">
                  <c:v>2.4861096365502355E-3</c:v>
                </c:pt>
              </c:numCache>
            </c:numRef>
          </c:val>
          <c:extLst>
            <c:ext xmlns:c16="http://schemas.microsoft.com/office/drawing/2014/chart" uri="{C3380CC4-5D6E-409C-BE32-E72D297353CC}">
              <c16:uniqueId val="{00000000-5E79-4F50-852C-FC7D3FFA574B}"/>
            </c:ext>
          </c:extLst>
        </c:ser>
        <c:ser>
          <c:idx val="1"/>
          <c:order val="1"/>
          <c:tx>
            <c:strRef>
              <c:f>uebb24_Betanteile_EU27!$G$35</c:f>
              <c:strCache>
                <c:ptCount val="1"/>
                <c:pt idx="0">
                  <c:v>Anteil an Förderungen</c:v>
                </c:pt>
              </c:strCache>
            </c:strRef>
          </c:tx>
          <c:spPr>
            <a:solidFill>
              <a:schemeClr val="accent2"/>
            </a:solidFill>
            <a:ln>
              <a:solidFill>
                <a:schemeClr val="bg1"/>
              </a:solidFill>
            </a:ln>
          </c:spPr>
          <c:invertIfNegative val="0"/>
          <c:cat>
            <c:strRef>
              <c:f>uebb24_Betanteile_EU27!$E$36:$E$62</c:f>
              <c:strCache>
                <c:ptCount val="27"/>
                <c:pt idx="0">
                  <c:v>DE</c:v>
                </c:pt>
                <c:pt idx="1">
                  <c:v>ES</c:v>
                </c:pt>
                <c:pt idx="2">
                  <c:v>IT</c:v>
                </c:pt>
                <c:pt idx="3">
                  <c:v>FR</c:v>
                </c:pt>
                <c:pt idx="4">
                  <c:v>NL</c:v>
                </c:pt>
                <c:pt idx="5">
                  <c:v>BE</c:v>
                </c:pt>
                <c:pt idx="6">
                  <c:v>EL</c:v>
                </c:pt>
                <c:pt idx="7">
                  <c:v>AT</c:v>
                </c:pt>
                <c:pt idx="8">
                  <c:v>PT</c:v>
                </c:pt>
                <c:pt idx="9">
                  <c:v>SE</c:v>
                </c:pt>
                <c:pt idx="10">
                  <c:v>DK</c:v>
                </c:pt>
                <c:pt idx="11">
                  <c:v>FI</c:v>
                </c:pt>
                <c:pt idx="12">
                  <c:v>IE</c:v>
                </c:pt>
                <c:pt idx="13">
                  <c:v>PL</c:v>
                </c:pt>
                <c:pt idx="14">
                  <c:v>CZ</c:v>
                </c:pt>
                <c:pt idx="15">
                  <c:v>RO</c:v>
                </c:pt>
                <c:pt idx="16">
                  <c:v>SI</c:v>
                </c:pt>
                <c:pt idx="17">
                  <c:v>CY</c:v>
                </c:pt>
                <c:pt idx="18">
                  <c:v>HU</c:v>
                </c:pt>
                <c:pt idx="19">
                  <c:v>EE</c:v>
                </c:pt>
                <c:pt idx="20">
                  <c:v>BG</c:v>
                </c:pt>
                <c:pt idx="21">
                  <c:v>HR</c:v>
                </c:pt>
                <c:pt idx="22">
                  <c:v>LT</c:v>
                </c:pt>
                <c:pt idx="23">
                  <c:v>LU</c:v>
                </c:pt>
                <c:pt idx="24">
                  <c:v>SK</c:v>
                </c:pt>
                <c:pt idx="25">
                  <c:v>LV</c:v>
                </c:pt>
                <c:pt idx="26">
                  <c:v>MT</c:v>
                </c:pt>
              </c:strCache>
            </c:strRef>
          </c:cat>
          <c:val>
            <c:numRef>
              <c:f>uebb24_Betanteile_EU27!$G$36:$G$62</c:f>
              <c:numCache>
                <c:formatCode>0.0%</c:formatCode>
                <c:ptCount val="27"/>
                <c:pt idx="0">
                  <c:v>0.17430334737105935</c:v>
                </c:pt>
                <c:pt idx="1">
                  <c:v>0.11694923458374686</c:v>
                </c:pt>
                <c:pt idx="2">
                  <c:v>9.1625286385313545E-2</c:v>
                </c:pt>
                <c:pt idx="3">
                  <c:v>0.12468656784980101</c:v>
                </c:pt>
                <c:pt idx="4">
                  <c:v>9.5566049016097956E-2</c:v>
                </c:pt>
                <c:pt idx="5">
                  <c:v>8.3034384262128447E-2</c:v>
                </c:pt>
                <c:pt idx="6">
                  <c:v>4.0797436643545737E-2</c:v>
                </c:pt>
                <c:pt idx="7">
                  <c:v>3.5974963339296763E-2</c:v>
                </c:pt>
                <c:pt idx="8">
                  <c:v>2.4843550766061599E-2</c:v>
                </c:pt>
                <c:pt idx="9">
                  <c:v>3.7995700761588404E-2</c:v>
                </c:pt>
                <c:pt idx="10">
                  <c:v>3.2072001901521402E-2</c:v>
                </c:pt>
                <c:pt idx="11">
                  <c:v>3.1745653325350585E-2</c:v>
                </c:pt>
                <c:pt idx="12">
                  <c:v>2.2850653894943583E-2</c:v>
                </c:pt>
                <c:pt idx="13">
                  <c:v>1.704807966615517E-2</c:v>
                </c:pt>
                <c:pt idx="14">
                  <c:v>1.2454244690371123E-2</c:v>
                </c:pt>
                <c:pt idx="15">
                  <c:v>7.0563189202590658E-3</c:v>
                </c:pt>
                <c:pt idx="16">
                  <c:v>8.6660934292149602E-3</c:v>
                </c:pt>
                <c:pt idx="17">
                  <c:v>7.4973790908404916E-3</c:v>
                </c:pt>
                <c:pt idx="18">
                  <c:v>5.0149714389117073E-3</c:v>
                </c:pt>
                <c:pt idx="19">
                  <c:v>6.3344195548498969E-3</c:v>
                </c:pt>
                <c:pt idx="20">
                  <c:v>3.8764569673540644E-3</c:v>
                </c:pt>
                <c:pt idx="21">
                  <c:v>3.4798518375641816E-3</c:v>
                </c:pt>
                <c:pt idx="22">
                  <c:v>4.0203534038523525E-3</c:v>
                </c:pt>
                <c:pt idx="23">
                  <c:v>5.2777195241013476E-3</c:v>
                </c:pt>
                <c:pt idx="24">
                  <c:v>3.0567259984366885E-3</c:v>
                </c:pt>
                <c:pt idx="25">
                  <c:v>2.5481203313848654E-3</c:v>
                </c:pt>
                <c:pt idx="26">
                  <c:v>1.2244350462898017E-3</c:v>
                </c:pt>
              </c:numCache>
            </c:numRef>
          </c:val>
          <c:extLst>
            <c:ext xmlns:c16="http://schemas.microsoft.com/office/drawing/2014/chart" uri="{C3380CC4-5D6E-409C-BE32-E72D297353CC}">
              <c16:uniqueId val="{00000001-5E79-4F50-852C-FC7D3FFA574B}"/>
            </c:ext>
          </c:extLst>
        </c:ser>
        <c:ser>
          <c:idx val="2"/>
          <c:order val="2"/>
          <c:tx>
            <c:strRef>
              <c:f>uebb24_Betanteile_EU27!$H$35</c:f>
              <c:strCache>
                <c:ptCount val="1"/>
                <c:pt idx="0">
                  <c:v>Anteil an Koordinationen</c:v>
                </c:pt>
              </c:strCache>
            </c:strRef>
          </c:tx>
          <c:spPr>
            <a:solidFill>
              <a:schemeClr val="accent3"/>
            </a:solidFill>
            <a:ln>
              <a:solidFill>
                <a:schemeClr val="bg1"/>
              </a:solidFill>
            </a:ln>
          </c:spPr>
          <c:invertIfNegative val="0"/>
          <c:cat>
            <c:strRef>
              <c:f>uebb24_Betanteile_EU27!$E$36:$E$62</c:f>
              <c:strCache>
                <c:ptCount val="27"/>
                <c:pt idx="0">
                  <c:v>DE</c:v>
                </c:pt>
                <c:pt idx="1">
                  <c:v>ES</c:v>
                </c:pt>
                <c:pt idx="2">
                  <c:v>IT</c:v>
                </c:pt>
                <c:pt idx="3">
                  <c:v>FR</c:v>
                </c:pt>
                <c:pt idx="4">
                  <c:v>NL</c:v>
                </c:pt>
                <c:pt idx="5">
                  <c:v>BE</c:v>
                </c:pt>
                <c:pt idx="6">
                  <c:v>EL</c:v>
                </c:pt>
                <c:pt idx="7">
                  <c:v>AT</c:v>
                </c:pt>
                <c:pt idx="8">
                  <c:v>PT</c:v>
                </c:pt>
                <c:pt idx="9">
                  <c:v>SE</c:v>
                </c:pt>
                <c:pt idx="10">
                  <c:v>DK</c:v>
                </c:pt>
                <c:pt idx="11">
                  <c:v>FI</c:v>
                </c:pt>
                <c:pt idx="12">
                  <c:v>IE</c:v>
                </c:pt>
                <c:pt idx="13">
                  <c:v>PL</c:v>
                </c:pt>
                <c:pt idx="14">
                  <c:v>CZ</c:v>
                </c:pt>
                <c:pt idx="15">
                  <c:v>RO</c:v>
                </c:pt>
                <c:pt idx="16">
                  <c:v>SI</c:v>
                </c:pt>
                <c:pt idx="17">
                  <c:v>CY</c:v>
                </c:pt>
                <c:pt idx="18">
                  <c:v>HU</c:v>
                </c:pt>
                <c:pt idx="19">
                  <c:v>EE</c:v>
                </c:pt>
                <c:pt idx="20">
                  <c:v>BG</c:v>
                </c:pt>
                <c:pt idx="21">
                  <c:v>HR</c:v>
                </c:pt>
                <c:pt idx="22">
                  <c:v>LT</c:v>
                </c:pt>
                <c:pt idx="23">
                  <c:v>LU</c:v>
                </c:pt>
                <c:pt idx="24">
                  <c:v>SK</c:v>
                </c:pt>
                <c:pt idx="25">
                  <c:v>LV</c:v>
                </c:pt>
                <c:pt idx="26">
                  <c:v>MT</c:v>
                </c:pt>
              </c:strCache>
            </c:strRef>
          </c:cat>
          <c:val>
            <c:numRef>
              <c:f>uebb24_Betanteile_EU27!$H$36:$H$62</c:f>
              <c:numCache>
                <c:formatCode>0.0%</c:formatCode>
                <c:ptCount val="27"/>
                <c:pt idx="0">
                  <c:v>0.14792928791339754</c:v>
                </c:pt>
                <c:pt idx="1">
                  <c:v>0.14182143211838316</c:v>
                </c:pt>
                <c:pt idx="2">
                  <c:v>0.11416228026616347</c:v>
                </c:pt>
                <c:pt idx="3">
                  <c:v>0.11520508491409276</c:v>
                </c:pt>
                <c:pt idx="4">
                  <c:v>8.9929486542854306E-2</c:v>
                </c:pt>
                <c:pt idx="5">
                  <c:v>6.2816565696692819E-2</c:v>
                </c:pt>
                <c:pt idx="6">
                  <c:v>3.4164266560730953E-2</c:v>
                </c:pt>
                <c:pt idx="7">
                  <c:v>3.8434799880822323E-2</c:v>
                </c:pt>
                <c:pt idx="8">
                  <c:v>2.8850928592710299E-2</c:v>
                </c:pt>
                <c:pt idx="9">
                  <c:v>4.3946767305591418E-2</c:v>
                </c:pt>
                <c:pt idx="10">
                  <c:v>4.623100605819843E-2</c:v>
                </c:pt>
                <c:pt idx="11">
                  <c:v>3.0737908431820438E-2</c:v>
                </c:pt>
                <c:pt idx="12">
                  <c:v>2.9546131691329823E-2</c:v>
                </c:pt>
                <c:pt idx="13">
                  <c:v>1.2166054225841692E-2</c:v>
                </c:pt>
                <c:pt idx="14">
                  <c:v>1.6287615453371734E-2</c:v>
                </c:pt>
                <c:pt idx="15">
                  <c:v>3.9229317707816071E-3</c:v>
                </c:pt>
                <c:pt idx="16">
                  <c:v>7.5975767206276695E-3</c:v>
                </c:pt>
                <c:pt idx="17">
                  <c:v>6.4554573443241633E-3</c:v>
                </c:pt>
                <c:pt idx="18">
                  <c:v>4.5188201410269139E-3</c:v>
                </c:pt>
                <c:pt idx="19">
                  <c:v>5.5616247889562018E-3</c:v>
                </c:pt>
                <c:pt idx="20">
                  <c:v>2.0856092958585759E-3</c:v>
                </c:pt>
                <c:pt idx="21">
                  <c:v>2.2842387526070115E-3</c:v>
                </c:pt>
                <c:pt idx="22">
                  <c:v>3.7243023140331711E-3</c:v>
                </c:pt>
                <c:pt idx="23">
                  <c:v>5.7105968815175292E-3</c:v>
                </c:pt>
                <c:pt idx="24">
                  <c:v>2.0359519316714668E-3</c:v>
                </c:pt>
                <c:pt idx="25">
                  <c:v>1.8869798391101401E-3</c:v>
                </c:pt>
                <c:pt idx="26">
                  <c:v>1.9862945674843581E-3</c:v>
                </c:pt>
              </c:numCache>
            </c:numRef>
          </c:val>
          <c:extLst>
            <c:ext xmlns:c16="http://schemas.microsoft.com/office/drawing/2014/chart" uri="{C3380CC4-5D6E-409C-BE32-E72D297353CC}">
              <c16:uniqueId val="{00000002-5E79-4F50-852C-FC7D3FFA574B}"/>
            </c:ext>
          </c:extLst>
        </c:ser>
        <c:dLbls>
          <c:showLegendKey val="0"/>
          <c:showVal val="0"/>
          <c:showCatName val="0"/>
          <c:showSerName val="0"/>
          <c:showPercent val="0"/>
          <c:showBubbleSize val="0"/>
        </c:dLbls>
        <c:gapWidth val="117"/>
        <c:axId val="470643072"/>
        <c:axId val="470644608"/>
      </c:barChart>
      <c:catAx>
        <c:axId val="470643072"/>
        <c:scaling>
          <c:orientation val="minMax"/>
        </c:scaling>
        <c:delete val="0"/>
        <c:axPos val="b"/>
        <c:numFmt formatCode="General" sourceLinked="1"/>
        <c:majorTickMark val="none"/>
        <c:minorTickMark val="none"/>
        <c:tickLblPos val="nextTo"/>
        <c:txPr>
          <a:bodyPr/>
          <a:lstStyle/>
          <a:p>
            <a:pPr>
              <a:defRPr sz="1100"/>
            </a:pPr>
            <a:endParaRPr lang="de-DE"/>
          </a:p>
        </c:txPr>
        <c:crossAx val="470644608"/>
        <c:crosses val="autoZero"/>
        <c:auto val="1"/>
        <c:lblAlgn val="ctr"/>
        <c:lblOffset val="100"/>
        <c:noMultiLvlLbl val="0"/>
      </c:catAx>
      <c:valAx>
        <c:axId val="470644608"/>
        <c:scaling>
          <c:orientation val="minMax"/>
          <c:max val="0.2"/>
        </c:scaling>
        <c:delete val="0"/>
        <c:axPos val="l"/>
        <c:majorGridlines>
          <c:spPr>
            <a:ln>
              <a:solidFill>
                <a:schemeClr val="bg1">
                  <a:lumMod val="85000"/>
                </a:schemeClr>
              </a:solidFill>
            </a:ln>
          </c:spPr>
        </c:majorGridlines>
        <c:numFmt formatCode="0%" sourceLinked="0"/>
        <c:majorTickMark val="none"/>
        <c:minorTickMark val="none"/>
        <c:tickLblPos val="nextTo"/>
        <c:spPr>
          <a:ln>
            <a:noFill/>
          </a:ln>
        </c:spPr>
        <c:crossAx val="470643072"/>
        <c:crosses val="autoZero"/>
        <c:crossBetween val="between"/>
        <c:majorUnit val="5.000000000000001E-2"/>
      </c:valAx>
    </c:plotArea>
    <c:legend>
      <c:legendPos val="b"/>
      <c:layout>
        <c:manualLayout>
          <c:xMode val="edge"/>
          <c:yMode val="edge"/>
          <c:x val="0.16868363608836096"/>
          <c:y val="1.6834908136482946E-2"/>
          <c:w val="0.65502672044293553"/>
          <c:h val="5.3165091863517061E-2"/>
        </c:manualLayout>
      </c:layout>
      <c:overlay val="0"/>
      <c:spPr>
        <a:ln>
          <a:noFill/>
        </a:ln>
      </c:spPr>
      <c:txPr>
        <a:bodyPr/>
        <a:lstStyle/>
        <a:p>
          <a:pPr>
            <a:defRPr sz="1200"/>
          </a:pPr>
          <a:endParaRPr lang="de-DE"/>
        </a:p>
      </c:txPr>
    </c:legend>
    <c:plotVisOnly val="1"/>
    <c:dispBlanksAs val="gap"/>
    <c:showDLblsOverMax val="0"/>
  </c:chart>
  <c:spPr>
    <a:solidFill>
      <a:schemeClr val="bg1"/>
    </a:solidFill>
    <a:ln>
      <a:noFill/>
    </a:ln>
  </c:spPr>
  <c:txPr>
    <a:bodyPr/>
    <a:lstStyle/>
    <a:p>
      <a:pPr>
        <a:defRPr sz="105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37909537876268"/>
          <c:y val="4.5133984854053455E-2"/>
          <c:w val="0.82486562419134224"/>
          <c:h val="0.74279044066860056"/>
        </c:manualLayout>
      </c:layout>
      <c:barChart>
        <c:barDir val="bar"/>
        <c:grouping val="percentStacked"/>
        <c:varyColors val="0"/>
        <c:ser>
          <c:idx val="0"/>
          <c:order val="0"/>
          <c:tx>
            <c:strRef>
              <c:f>'003_Bet_AT_Saeulen'!$C$9</c:f>
              <c:strCache>
                <c:ptCount val="1"/>
                <c:pt idx="0">
                  <c:v>Excellent Science</c:v>
                </c:pt>
              </c:strCache>
            </c:strRef>
          </c:tx>
          <c:invertIfNegative val="0"/>
          <c:dLbls>
            <c:spPr>
              <a:noFill/>
              <a:ln>
                <a:noFill/>
              </a:ln>
              <a:effectLst/>
            </c:spPr>
            <c:txPr>
              <a:bodyPr/>
              <a:lstStyle/>
              <a:p>
                <a:pPr>
                  <a:defRPr sz="1200">
                    <a:solidFill>
                      <a:schemeClr val="bg1"/>
                    </a:solidFill>
                    <a:latin typeface="+mn-lt"/>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('003_Bet_AT_Saeulen'!$D$8,'003_Bet_AT_Saeulen'!$F$8)</c:f>
              <c:strCache>
                <c:ptCount val="2"/>
                <c:pt idx="0">
                  <c:v>Beteiligungen 3.919</c:v>
                </c:pt>
                <c:pt idx="1">
                  <c:v>Förderung 1.856,20 Mio.€</c:v>
                </c:pt>
              </c:strCache>
            </c:strRef>
          </c:cat>
          <c:val>
            <c:numRef>
              <c:f>('003_Bet_AT_Saeulen'!$D$9,'003_Bet_AT_Saeulen'!$F$9)</c:f>
              <c:numCache>
                <c:formatCode>0%</c:formatCode>
                <c:ptCount val="2"/>
                <c:pt idx="0">
                  <c:v>0.29191120183720337</c:v>
                </c:pt>
                <c:pt idx="1">
                  <c:v>0.3284721473979097</c:v>
                </c:pt>
              </c:numCache>
            </c:numRef>
          </c:val>
          <c:extLst>
            <c:ext xmlns:c16="http://schemas.microsoft.com/office/drawing/2014/chart" uri="{C3380CC4-5D6E-409C-BE32-E72D297353CC}">
              <c16:uniqueId val="{00000000-287B-4072-AC29-50A57A159613}"/>
            </c:ext>
          </c:extLst>
        </c:ser>
        <c:ser>
          <c:idx val="1"/>
          <c:order val="1"/>
          <c:tx>
            <c:strRef>
              <c:f>'003_Bet_AT_Saeulen'!$C$10</c:f>
              <c:strCache>
                <c:ptCount val="1"/>
                <c:pt idx="0">
                  <c:v>Global Challenges &amp; Europ. Ind. Competitiveness</c:v>
                </c:pt>
              </c:strCache>
            </c:strRef>
          </c:tx>
          <c:invertIfNegative val="0"/>
          <c:dLbls>
            <c:spPr>
              <a:noFill/>
              <a:ln>
                <a:noFill/>
              </a:ln>
              <a:effectLst/>
            </c:spPr>
            <c:txPr>
              <a:bodyPr/>
              <a:lstStyle/>
              <a:p>
                <a:pPr>
                  <a:defRPr sz="1200">
                    <a:solidFill>
                      <a:schemeClr val="bg1"/>
                    </a:solidFill>
                    <a:latin typeface="+mn-lt"/>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('003_Bet_AT_Saeulen'!$D$8,'003_Bet_AT_Saeulen'!$F$8)</c:f>
              <c:strCache>
                <c:ptCount val="2"/>
                <c:pt idx="0">
                  <c:v>Beteiligungen 3.919</c:v>
                </c:pt>
                <c:pt idx="1">
                  <c:v>Förderung 1.856,20 Mio.€</c:v>
                </c:pt>
              </c:strCache>
            </c:strRef>
          </c:cat>
          <c:val>
            <c:numRef>
              <c:f>('003_Bet_AT_Saeulen'!$D$10,'003_Bet_AT_Saeulen'!$F$10)</c:f>
              <c:numCache>
                <c:formatCode>0%</c:formatCode>
                <c:ptCount val="2"/>
                <c:pt idx="0">
                  <c:v>0.6368971676448073</c:v>
                </c:pt>
                <c:pt idx="1">
                  <c:v>0.59232841288654237</c:v>
                </c:pt>
              </c:numCache>
            </c:numRef>
          </c:val>
          <c:extLst>
            <c:ext xmlns:c16="http://schemas.microsoft.com/office/drawing/2014/chart" uri="{C3380CC4-5D6E-409C-BE32-E72D297353CC}">
              <c16:uniqueId val="{00000001-287B-4072-AC29-50A57A159613}"/>
            </c:ext>
          </c:extLst>
        </c:ser>
        <c:ser>
          <c:idx val="2"/>
          <c:order val="2"/>
          <c:tx>
            <c:strRef>
              <c:f>'003_Bet_AT_Saeulen'!$C$11</c:f>
              <c:strCache>
                <c:ptCount val="1"/>
                <c:pt idx="0">
                  <c:v>Innovative Europe</c:v>
                </c:pt>
              </c:strCache>
            </c:strRef>
          </c:tx>
          <c:invertIfNegative val="0"/>
          <c:dLbls>
            <c:spPr>
              <a:noFill/>
              <a:ln>
                <a:noFill/>
              </a:ln>
              <a:effectLst/>
            </c:spPr>
            <c:txPr>
              <a:bodyPr/>
              <a:lstStyle/>
              <a:p>
                <a:pPr>
                  <a:defRPr sz="1200">
                    <a:solidFill>
                      <a:schemeClr val="bg1"/>
                    </a:solidFill>
                    <a:latin typeface="+mn-lt"/>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('003_Bet_AT_Saeulen'!$D$8,'003_Bet_AT_Saeulen'!$F$8)</c:f>
              <c:strCache>
                <c:ptCount val="2"/>
                <c:pt idx="0">
                  <c:v>Beteiligungen 3.919</c:v>
                </c:pt>
                <c:pt idx="1">
                  <c:v>Förderung 1.856,20 Mio.€</c:v>
                </c:pt>
              </c:strCache>
            </c:strRef>
          </c:cat>
          <c:val>
            <c:numRef>
              <c:f>('003_Bet_AT_Saeulen'!$D$11,'003_Bet_AT_Saeulen'!$F$11)</c:f>
              <c:numCache>
                <c:formatCode>0%</c:formatCode>
                <c:ptCount val="2"/>
                <c:pt idx="0">
                  <c:v>4.3123245725950499E-2</c:v>
                </c:pt>
                <c:pt idx="1">
                  <c:v>6.4842150630320006E-2</c:v>
                </c:pt>
              </c:numCache>
            </c:numRef>
          </c:val>
          <c:extLst>
            <c:ext xmlns:c16="http://schemas.microsoft.com/office/drawing/2014/chart" uri="{C3380CC4-5D6E-409C-BE32-E72D297353CC}">
              <c16:uniqueId val="{00000002-287B-4072-AC29-50A57A159613}"/>
            </c:ext>
          </c:extLst>
        </c:ser>
        <c:ser>
          <c:idx val="3"/>
          <c:order val="3"/>
          <c:tx>
            <c:strRef>
              <c:f>'003_Bet_AT_Saeulen'!$C$12</c:f>
              <c:strCache>
                <c:ptCount val="1"/>
                <c:pt idx="0">
                  <c:v>Widening Participation &amp; Strengthening ERA</c:v>
                </c:pt>
              </c:strCache>
            </c:strRef>
          </c:tx>
          <c:invertIfNegative val="0"/>
          <c:dLbls>
            <c:spPr>
              <a:noFill/>
              <a:ln>
                <a:noFill/>
              </a:ln>
              <a:effectLst/>
            </c:spPr>
            <c:txPr>
              <a:bodyPr wrap="square" lIns="38100" tIns="19050" rIns="38100" bIns="19050" anchor="ctr">
                <a:spAutoFit/>
              </a:bodyPr>
              <a:lstStyle/>
              <a:p>
                <a:pPr>
                  <a:defRPr sz="1050">
                    <a:solidFill>
                      <a:schemeClr val="bg1"/>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('003_Bet_AT_Saeulen'!$D$8,'003_Bet_AT_Saeulen'!$F$8)</c:f>
              <c:strCache>
                <c:ptCount val="2"/>
                <c:pt idx="0">
                  <c:v>Beteiligungen 3.919</c:v>
                </c:pt>
                <c:pt idx="1">
                  <c:v>Förderung 1.856,20 Mio.€</c:v>
                </c:pt>
              </c:strCache>
            </c:strRef>
          </c:cat>
          <c:val>
            <c:numRef>
              <c:f>('003_Bet_AT_Saeulen'!$D$12,'003_Bet_AT_Saeulen'!$F$12)</c:f>
              <c:numCache>
                <c:formatCode>0%</c:formatCode>
                <c:ptCount val="2"/>
                <c:pt idx="0">
                  <c:v>2.8068384792038787E-2</c:v>
                </c:pt>
                <c:pt idx="1">
                  <c:v>1.4362676435728907E-2</c:v>
                </c:pt>
              </c:numCache>
            </c:numRef>
          </c:val>
          <c:extLst>
            <c:ext xmlns:c16="http://schemas.microsoft.com/office/drawing/2014/chart" uri="{C3380CC4-5D6E-409C-BE32-E72D297353CC}">
              <c16:uniqueId val="{00000000-01DA-45B1-A76F-7D8D1C3BB5D9}"/>
            </c:ext>
          </c:extLst>
        </c:ser>
        <c:dLbls>
          <c:dLblPos val="ctr"/>
          <c:showLegendKey val="0"/>
          <c:showVal val="1"/>
          <c:showCatName val="0"/>
          <c:showSerName val="0"/>
          <c:showPercent val="0"/>
          <c:showBubbleSize val="0"/>
        </c:dLbls>
        <c:gapWidth val="70"/>
        <c:overlap val="100"/>
        <c:axId val="323565440"/>
        <c:axId val="323566976"/>
        <c:extLst>
          <c:ext xmlns:c15="http://schemas.microsoft.com/office/drawing/2012/chart" uri="{02D57815-91ED-43cb-92C2-25804820EDAC}">
            <c15:filteredBarSeries>
              <c15:ser>
                <c:idx val="4"/>
                <c:order val="4"/>
                <c:tx>
                  <c:strRef>
                    <c:extLst>
                      <c:ext uri="{02D57815-91ED-43cb-92C2-25804820EDAC}">
                        <c15:formulaRef>
                          <c15:sqref>'003_Bet_AT_Saeulen'!$C$13</c15:sqref>
                        </c15:formulaRef>
                      </c:ext>
                    </c:extLst>
                    <c:strCache>
                      <c:ptCount val="1"/>
                      <c:pt idx="0">
                        <c:v>Euratom 2021-2025</c:v>
                      </c:pt>
                    </c:strCache>
                  </c:strRef>
                </c:tx>
                <c:invertIfNegative val="0"/>
                <c:dLbls>
                  <c:delete val="1"/>
                </c:dLbls>
                <c:cat>
                  <c:strRef>
                    <c:extLst>
                      <c:ext uri="{02D57815-91ED-43cb-92C2-25804820EDAC}">
                        <c15:formulaRef>
                          <c15:sqref>('003_Bet_AT_Saeulen'!$D$8,'003_Bet_AT_Saeulen'!$F$8)</c15:sqref>
                        </c15:formulaRef>
                      </c:ext>
                    </c:extLst>
                    <c:strCache>
                      <c:ptCount val="2"/>
                      <c:pt idx="0">
                        <c:v>Beteiligungen 3.919</c:v>
                      </c:pt>
                      <c:pt idx="1">
                        <c:v>Förderung 1.856,20 Mio.€</c:v>
                      </c:pt>
                    </c:strCache>
                  </c:strRef>
                </c:cat>
                <c:val>
                  <c:numRef>
                    <c:extLst>
                      <c:ext uri="{02D57815-91ED-43cb-92C2-25804820EDAC}">
                        <c15:formulaRef>
                          <c15:sqref>('003_Bet_AT_Saeulen'!$D$13,'003_Bet_AT_Saeulen'!$F$13)</c15:sqref>
                        </c15:formulaRef>
                      </c:ext>
                    </c:extLst>
                    <c:numCache>
                      <c:formatCode>0%</c:formatCode>
                      <c:ptCount val="2"/>
                      <c:pt idx="0">
                        <c:v>0</c:v>
                      </c:pt>
                      <c:pt idx="1">
                        <c:v>0</c:v>
                      </c:pt>
                    </c:numCache>
                  </c:numRef>
                </c:val>
                <c:extLst>
                  <c:ext xmlns:c16="http://schemas.microsoft.com/office/drawing/2014/chart" uri="{C3380CC4-5D6E-409C-BE32-E72D297353CC}">
                    <c16:uniqueId val="{00000001-01DA-45B1-A76F-7D8D1C3BB5D9}"/>
                  </c:ext>
                </c:extLst>
              </c15:ser>
            </c15:filteredBarSeries>
          </c:ext>
        </c:extLst>
      </c:barChart>
      <c:catAx>
        <c:axId val="323565440"/>
        <c:scaling>
          <c:orientation val="maxMin"/>
        </c:scaling>
        <c:delete val="0"/>
        <c:axPos val="l"/>
        <c:numFmt formatCode="General" sourceLinked="1"/>
        <c:majorTickMark val="none"/>
        <c:minorTickMark val="none"/>
        <c:tickLblPos val="nextTo"/>
        <c:spPr>
          <a:ln>
            <a:noFill/>
          </a:ln>
        </c:spPr>
        <c:txPr>
          <a:bodyPr/>
          <a:lstStyle/>
          <a:p>
            <a:pPr>
              <a:defRPr sz="1200">
                <a:solidFill>
                  <a:sysClr val="windowText" lastClr="000000"/>
                </a:solidFill>
                <a:latin typeface="+mn-lt"/>
              </a:defRPr>
            </a:pPr>
            <a:endParaRPr lang="de-DE"/>
          </a:p>
        </c:txPr>
        <c:crossAx val="323566976"/>
        <c:crosses val="autoZero"/>
        <c:auto val="1"/>
        <c:lblAlgn val="ctr"/>
        <c:lblOffset val="100"/>
        <c:noMultiLvlLbl val="0"/>
      </c:catAx>
      <c:valAx>
        <c:axId val="323566976"/>
        <c:scaling>
          <c:orientation val="minMax"/>
        </c:scaling>
        <c:delete val="1"/>
        <c:axPos val="t"/>
        <c:numFmt formatCode="0%" sourceLinked="1"/>
        <c:majorTickMark val="out"/>
        <c:minorTickMark val="none"/>
        <c:tickLblPos val="nextTo"/>
        <c:crossAx val="323565440"/>
        <c:crosses val="autoZero"/>
        <c:crossBetween val="between"/>
      </c:valAx>
    </c:plotArea>
    <c:legend>
      <c:legendPos val="b"/>
      <c:layout>
        <c:manualLayout>
          <c:xMode val="edge"/>
          <c:yMode val="edge"/>
          <c:x val="7.8795137803677209E-2"/>
          <c:y val="0.77482248929410136"/>
          <c:w val="0.90011876556403558"/>
          <c:h val="0.17236966431827599"/>
        </c:manualLayout>
      </c:layout>
      <c:overlay val="0"/>
      <c:spPr>
        <a:ln>
          <a:noFill/>
        </a:ln>
      </c:spPr>
      <c:txPr>
        <a:bodyPr/>
        <a:lstStyle/>
        <a:p>
          <a:pPr>
            <a:defRPr sz="1100">
              <a:solidFill>
                <a:sysClr val="windowText" lastClr="000000"/>
              </a:solidFill>
              <a:latin typeface="+mn-lt"/>
            </a:defRPr>
          </a:pPr>
          <a:endParaRPr lang="de-DE"/>
        </a:p>
      </c:txPr>
    </c:legend>
    <c:plotVisOnly val="1"/>
    <c:dispBlanksAs val="gap"/>
    <c:showDLblsOverMax val="0"/>
  </c:chart>
  <c:spPr>
    <a:ln>
      <a:noFill/>
    </a:ln>
  </c:spPr>
  <c:txPr>
    <a:bodyPr/>
    <a:lstStyle/>
    <a:p>
      <a:pPr>
        <a:defRPr baseline="0">
          <a:solidFill>
            <a:srgbClr val="565656"/>
          </a:solidFill>
          <a:latin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9579801686074"/>
          <c:y val="0.13235447670057549"/>
          <c:w val="0.80290019989985451"/>
          <c:h val="0.69873163558530682"/>
        </c:manualLayout>
      </c:layout>
      <c:barChart>
        <c:barDir val="col"/>
        <c:grouping val="clustered"/>
        <c:varyColors val="0"/>
        <c:ser>
          <c:idx val="0"/>
          <c:order val="0"/>
          <c:tx>
            <c:strRef>
              <c:f>'003_Bet_AT_Saeulen (2)'!$D$26</c:f>
              <c:strCache>
                <c:ptCount val="1"/>
                <c:pt idx="0">
                  <c:v>Förderung für alle Staaten</c:v>
                </c:pt>
              </c:strCache>
            </c:strRef>
          </c:tx>
          <c:spPr>
            <a:solidFill>
              <a:schemeClr val="accent2"/>
            </a:solidFill>
            <a:ln>
              <a:noFill/>
            </a:ln>
          </c:spPr>
          <c:invertIfNegative val="0"/>
          <c:cat>
            <c:strRef>
              <c:extLst>
                <c:ext xmlns:c15="http://schemas.microsoft.com/office/drawing/2012/chart" uri="{02D57815-91ED-43cb-92C2-25804820EDAC}">
                  <c15:fullRef>
                    <c15:sqref>'003_Bet_AT_Saeulen (2)'!$C$27:$C$31</c15:sqref>
                  </c15:fullRef>
                </c:ext>
              </c:extLst>
              <c:f>'003_Bet_AT_Saeulen (2)'!$C$27:$C$30</c:f>
              <c:strCache>
                <c:ptCount val="4"/>
                <c:pt idx="0">
                  <c:v>Excellent Science</c:v>
                </c:pt>
                <c:pt idx="1">
                  <c:v>Global Challenges &amp; Europ. Ind. Competitiveness</c:v>
                </c:pt>
                <c:pt idx="2">
                  <c:v>Innovative Europe</c:v>
                </c:pt>
                <c:pt idx="3">
                  <c:v>Widening Participation &amp; Strengthening ERA</c:v>
                </c:pt>
              </c:strCache>
            </c:strRef>
          </c:cat>
          <c:val>
            <c:numRef>
              <c:extLst>
                <c:ext xmlns:c15="http://schemas.microsoft.com/office/drawing/2012/chart" uri="{02D57815-91ED-43cb-92C2-25804820EDAC}">
                  <c15:fullRef>
                    <c15:sqref>'003_Bet_AT_Saeulen (2)'!$D$27:$D$31</c15:sqref>
                  </c15:fullRef>
                </c:ext>
              </c:extLst>
              <c:f>'003_Bet_AT_Saeulen (2)'!$D$27:$D$30</c:f>
              <c:numCache>
                <c:formatCode>#,##0.00</c:formatCode>
                <c:ptCount val="4"/>
                <c:pt idx="0">
                  <c:v>16908.990000000002</c:v>
                </c:pt>
                <c:pt idx="1">
                  <c:v>33079.06</c:v>
                </c:pt>
                <c:pt idx="2">
                  <c:v>6418.8</c:v>
                </c:pt>
                <c:pt idx="3">
                  <c:v>1889.13</c:v>
                </c:pt>
              </c:numCache>
            </c:numRef>
          </c:val>
          <c:extLst>
            <c:ext xmlns:c16="http://schemas.microsoft.com/office/drawing/2014/chart" uri="{C3380CC4-5D6E-409C-BE32-E72D297353CC}">
              <c16:uniqueId val="{00000000-A5E8-45AA-941E-F1379AC842E1}"/>
            </c:ext>
          </c:extLst>
        </c:ser>
        <c:dLbls>
          <c:showLegendKey val="0"/>
          <c:showVal val="0"/>
          <c:showCatName val="0"/>
          <c:showSerName val="0"/>
          <c:showPercent val="0"/>
          <c:showBubbleSize val="0"/>
        </c:dLbls>
        <c:gapWidth val="100"/>
        <c:axId val="325191168"/>
        <c:axId val="325192704"/>
      </c:barChart>
      <c:lineChart>
        <c:grouping val="standard"/>
        <c:varyColors val="0"/>
        <c:ser>
          <c:idx val="1"/>
          <c:order val="1"/>
          <c:tx>
            <c:strRef>
              <c:f>'003_Bet_AT_Saeulen (2)'!$E$26</c:f>
              <c:strCache>
                <c:ptCount val="1"/>
                <c:pt idx="0">
                  <c:v>Anteil Österreichs</c:v>
                </c:pt>
              </c:strCache>
            </c:strRef>
          </c:tx>
          <c:spPr>
            <a:ln>
              <a:noFill/>
            </a:ln>
          </c:spPr>
          <c:marker>
            <c:symbol val="square"/>
            <c:size val="7"/>
            <c:spPr>
              <a:solidFill>
                <a:schemeClr val="accent1"/>
              </a:solidFill>
              <a:ln>
                <a:noFill/>
              </a:ln>
            </c:spPr>
          </c:marker>
          <c:dLbls>
            <c:numFmt formatCode="0.0%" sourceLinked="0"/>
            <c:spPr>
              <a:noFill/>
              <a:ln>
                <a:noFill/>
              </a:ln>
              <a:effectLst/>
            </c:spPr>
            <c:txPr>
              <a:bodyPr/>
              <a:lstStyle/>
              <a:p>
                <a:pPr>
                  <a:defRPr sz="1200"/>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'003_Bet_AT_Saeulen (2)'!$C$27:$C$31</c15:sqref>
                  </c15:fullRef>
                </c:ext>
              </c:extLst>
              <c:f>'003_Bet_AT_Saeulen (2)'!$C$27:$C$30</c:f>
              <c:strCache>
                <c:ptCount val="4"/>
                <c:pt idx="0">
                  <c:v>Excellent Science</c:v>
                </c:pt>
                <c:pt idx="1">
                  <c:v>Global Challenges &amp; Europ. Ind. Competitiveness</c:v>
                </c:pt>
                <c:pt idx="2">
                  <c:v>Innovative Europe</c:v>
                </c:pt>
                <c:pt idx="3">
                  <c:v>Widening Participation &amp; Strengthening ERA</c:v>
                </c:pt>
              </c:strCache>
            </c:strRef>
          </c:cat>
          <c:val>
            <c:numRef>
              <c:extLst>
                <c:ext xmlns:c15="http://schemas.microsoft.com/office/drawing/2012/chart" uri="{02D57815-91ED-43cb-92C2-25804820EDAC}">
                  <c15:fullRef>
                    <c15:sqref>'003_Bet_AT_Saeulen (2)'!$E$27:$E$31</c15:sqref>
                  </c15:fullRef>
                </c:ext>
              </c:extLst>
              <c:f>'003_Bet_AT_Saeulen (2)'!$E$27:$E$30</c:f>
              <c:numCache>
                <c:formatCode>0.0%</c:formatCode>
                <c:ptCount val="4"/>
                <c:pt idx="0">
                  <c:v>3.605833346639864E-2</c:v>
                </c:pt>
                <c:pt idx="1">
                  <c:v>3.3237945697368668E-2</c:v>
                </c:pt>
                <c:pt idx="2">
                  <c:v>1.875116844269957E-2</c:v>
                </c:pt>
                <c:pt idx="3">
                  <c:v>1.4112316251396145E-2</c:v>
                </c:pt>
              </c:numCache>
            </c:numRef>
          </c:val>
          <c:smooth val="0"/>
          <c:extLst>
            <c:ext xmlns:c16="http://schemas.microsoft.com/office/drawing/2014/chart" uri="{C3380CC4-5D6E-409C-BE32-E72D297353CC}">
              <c16:uniqueId val="{00000001-A5E8-45AA-941E-F1379AC842E1}"/>
            </c:ext>
          </c:extLst>
        </c:ser>
        <c:dLbls>
          <c:showLegendKey val="0"/>
          <c:showVal val="0"/>
          <c:showCatName val="0"/>
          <c:showSerName val="0"/>
          <c:showPercent val="0"/>
          <c:showBubbleSize val="0"/>
        </c:dLbls>
        <c:marker val="1"/>
        <c:smooth val="0"/>
        <c:axId val="325208704"/>
        <c:axId val="325207168"/>
      </c:lineChart>
      <c:catAx>
        <c:axId val="325191168"/>
        <c:scaling>
          <c:orientation val="minMax"/>
        </c:scaling>
        <c:delete val="0"/>
        <c:axPos val="b"/>
        <c:numFmt formatCode="General" sourceLinked="1"/>
        <c:majorTickMark val="none"/>
        <c:minorTickMark val="none"/>
        <c:tickLblPos val="nextTo"/>
        <c:spPr>
          <a:ln>
            <a:solidFill>
              <a:srgbClr val="E0E0E0"/>
            </a:solidFill>
          </a:ln>
        </c:spPr>
        <c:txPr>
          <a:bodyPr/>
          <a:lstStyle/>
          <a:p>
            <a:pPr>
              <a:defRPr sz="1100"/>
            </a:pPr>
            <a:endParaRPr lang="de-DE"/>
          </a:p>
        </c:txPr>
        <c:crossAx val="325192704"/>
        <c:crosses val="autoZero"/>
        <c:auto val="0"/>
        <c:lblAlgn val="ctr"/>
        <c:lblOffset val="100"/>
        <c:noMultiLvlLbl val="0"/>
      </c:catAx>
      <c:valAx>
        <c:axId val="325192704"/>
        <c:scaling>
          <c:orientation val="minMax"/>
        </c:scaling>
        <c:delete val="0"/>
        <c:axPos val="l"/>
        <c:majorGridlines>
          <c:spPr>
            <a:ln>
              <a:solidFill>
                <a:schemeClr val="bg1">
                  <a:lumMod val="85000"/>
                </a:schemeClr>
              </a:solidFill>
            </a:ln>
          </c:spPr>
        </c:majorGridlines>
        <c:title>
          <c:tx>
            <c:rich>
              <a:bodyPr rot="-5400000" vert="horz"/>
              <a:lstStyle/>
              <a:p>
                <a:pPr>
                  <a:defRPr sz="1100" b="0"/>
                </a:pPr>
                <a:r>
                  <a:rPr lang="en-US" sz="1100" b="0"/>
                  <a:t>Förderung in Mio. €</a:t>
                </a:r>
              </a:p>
            </c:rich>
          </c:tx>
          <c:layout>
            <c:manualLayout>
              <c:xMode val="edge"/>
              <c:yMode val="edge"/>
              <c:x val="2.911581906008634E-2"/>
              <c:y val="0.31095502838985828"/>
            </c:manualLayout>
          </c:layout>
          <c:overlay val="0"/>
        </c:title>
        <c:numFmt formatCode="#,##0" sourceLinked="0"/>
        <c:majorTickMark val="none"/>
        <c:minorTickMark val="none"/>
        <c:tickLblPos val="nextTo"/>
        <c:spPr>
          <a:ln>
            <a:noFill/>
          </a:ln>
        </c:spPr>
        <c:txPr>
          <a:bodyPr/>
          <a:lstStyle/>
          <a:p>
            <a:pPr>
              <a:defRPr sz="1050"/>
            </a:pPr>
            <a:endParaRPr lang="de-DE"/>
          </a:p>
        </c:txPr>
        <c:crossAx val="325191168"/>
        <c:crosses val="autoZero"/>
        <c:crossBetween val="between"/>
        <c:majorUnit val="2000"/>
        <c:minorUnit val="500"/>
      </c:valAx>
      <c:valAx>
        <c:axId val="325207168"/>
        <c:scaling>
          <c:orientation val="minMax"/>
          <c:max val="8.0000000000000016E-2"/>
        </c:scaling>
        <c:delete val="0"/>
        <c:axPos val="r"/>
        <c:numFmt formatCode="0.0%" sourceLinked="1"/>
        <c:majorTickMark val="none"/>
        <c:minorTickMark val="none"/>
        <c:tickLblPos val="none"/>
        <c:spPr>
          <a:ln>
            <a:noFill/>
          </a:ln>
        </c:spPr>
        <c:crossAx val="325208704"/>
        <c:crosses val="max"/>
        <c:crossBetween val="between"/>
      </c:valAx>
      <c:catAx>
        <c:axId val="325208704"/>
        <c:scaling>
          <c:orientation val="minMax"/>
        </c:scaling>
        <c:delete val="1"/>
        <c:axPos val="b"/>
        <c:numFmt formatCode="General" sourceLinked="1"/>
        <c:majorTickMark val="out"/>
        <c:minorTickMark val="none"/>
        <c:tickLblPos val="nextTo"/>
        <c:crossAx val="325207168"/>
        <c:crosses val="autoZero"/>
        <c:auto val="1"/>
        <c:lblAlgn val="ctr"/>
        <c:lblOffset val="100"/>
        <c:noMultiLvlLbl val="0"/>
      </c:catAx>
    </c:plotArea>
    <c:legend>
      <c:legendPos val="t"/>
      <c:layout>
        <c:manualLayout>
          <c:xMode val="edge"/>
          <c:yMode val="edge"/>
          <c:x val="0.26934775845279163"/>
          <c:y val="4.7571838470509206E-2"/>
          <c:w val="0.45445370213910241"/>
          <c:h val="5.099613681710688E-2"/>
        </c:manualLayout>
      </c:layout>
      <c:overlay val="0"/>
      <c:spPr>
        <a:ln>
          <a:noFill/>
        </a:ln>
      </c:spPr>
      <c:txPr>
        <a:bodyPr/>
        <a:lstStyle/>
        <a:p>
          <a:pPr>
            <a:defRPr sz="1200"/>
          </a:pPr>
          <a:endParaRPr lang="de-DE"/>
        </a:p>
      </c:txPr>
    </c:legend>
    <c:plotVisOnly val="1"/>
    <c:dispBlanksAs val="gap"/>
    <c:showDLblsOverMax val="0"/>
  </c:chart>
  <c:spPr>
    <a:ln>
      <a:noFill/>
    </a:ln>
  </c:spPr>
  <c:txPr>
    <a:bodyPr/>
    <a:lstStyle/>
    <a:p>
      <a:pPr>
        <a:defRPr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4784361144701E-2"/>
          <c:y val="0.12311722331368696"/>
          <c:w val="0.96453043127771065"/>
          <c:h val="0.75309520494614013"/>
        </c:manualLayout>
      </c:layout>
      <c:barChart>
        <c:barDir val="col"/>
        <c:grouping val="clustered"/>
        <c:varyColors val="0"/>
        <c:ser>
          <c:idx val="0"/>
          <c:order val="0"/>
          <c:tx>
            <c:strRef>
              <c:f>uebb008_ExScience!$E$6</c:f>
              <c:strCache>
                <c:ptCount val="1"/>
                <c:pt idx="0">
                  <c:v>Beteiligungen</c:v>
                </c:pt>
              </c:strCache>
            </c:strRef>
          </c:tx>
          <c:spPr>
            <a:ln>
              <a:solidFill>
                <a:schemeClr val="bg1"/>
              </a:solidFill>
            </a:ln>
          </c:spPr>
          <c:invertIfNegative val="0"/>
          <c:dLbls>
            <c:numFmt formatCode="0.0%" sourceLinked="0"/>
            <c:spPr>
              <a:noFill/>
              <a:ln>
                <a:noFill/>
              </a:ln>
              <a:effectLst/>
            </c:spPr>
            <c:txPr>
              <a:bodyPr/>
              <a:lstStyle/>
              <a:p>
                <a:pPr>
                  <a:defRPr sz="12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uebb008_ExScience!$D$7:$D$9</c:f>
              <c:strCache>
                <c:ptCount val="3"/>
                <c:pt idx="0">
                  <c:v>European Research Council (ERC)</c:v>
                </c:pt>
                <c:pt idx="1">
                  <c:v>Marie Skłodowska-Curie Actions (MSCA)</c:v>
                </c:pt>
                <c:pt idx="2">
                  <c:v>Research infrastructures</c:v>
                </c:pt>
              </c:strCache>
            </c:strRef>
          </c:cat>
          <c:val>
            <c:numRef>
              <c:f>uebb008_ExScience!$E$7:$E$9</c:f>
              <c:numCache>
                <c:formatCode>0.0%</c:formatCode>
                <c:ptCount val="3"/>
                <c:pt idx="0">
                  <c:v>3.821489333856825E-2</c:v>
                </c:pt>
                <c:pt idx="1">
                  <c:v>2.3622047244094488E-2</c:v>
                </c:pt>
                <c:pt idx="2">
                  <c:v>2.2510980966325037E-2</c:v>
                </c:pt>
              </c:numCache>
            </c:numRef>
          </c:val>
          <c:extLst>
            <c:ext xmlns:c16="http://schemas.microsoft.com/office/drawing/2014/chart" uri="{C3380CC4-5D6E-409C-BE32-E72D297353CC}">
              <c16:uniqueId val="{00000000-5B3D-4172-8DC4-827C03AC1EAC}"/>
            </c:ext>
          </c:extLst>
        </c:ser>
        <c:ser>
          <c:idx val="1"/>
          <c:order val="1"/>
          <c:tx>
            <c:strRef>
              <c:f>uebb008_ExScience!$F$6</c:f>
              <c:strCache>
                <c:ptCount val="1"/>
                <c:pt idx="0">
                  <c:v>Förderungen</c:v>
                </c:pt>
              </c:strCache>
            </c:strRef>
          </c:tx>
          <c:spPr>
            <a:solidFill>
              <a:schemeClr val="accent2"/>
            </a:solidFill>
            <a:ln>
              <a:solidFill>
                <a:schemeClr val="bg1"/>
              </a:solidFill>
            </a:ln>
          </c:spPr>
          <c:invertIfNegative val="0"/>
          <c:dLbls>
            <c:numFmt formatCode="0.0%" sourceLinked="0"/>
            <c:spPr>
              <a:noFill/>
              <a:ln>
                <a:noFill/>
              </a:ln>
              <a:effectLst/>
            </c:spPr>
            <c:txPr>
              <a:bodyPr/>
              <a:lstStyle/>
              <a:p>
                <a:pPr>
                  <a:defRPr sz="12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uebb008_ExScience!$D$7:$D$9</c:f>
              <c:strCache>
                <c:ptCount val="3"/>
                <c:pt idx="0">
                  <c:v>European Research Council (ERC)</c:v>
                </c:pt>
                <c:pt idx="1">
                  <c:v>Marie Skłodowska-Curie Actions (MSCA)</c:v>
                </c:pt>
                <c:pt idx="2">
                  <c:v>Research infrastructures</c:v>
                </c:pt>
              </c:strCache>
            </c:strRef>
          </c:cat>
          <c:val>
            <c:numRef>
              <c:f>uebb008_ExScience!$F$7:$F$9</c:f>
              <c:numCache>
                <c:formatCode>0.0%</c:formatCode>
                <c:ptCount val="3"/>
                <c:pt idx="0">
                  <c:v>4.1468916911335668E-2</c:v>
                </c:pt>
                <c:pt idx="1">
                  <c:v>2.8149582897707453E-2</c:v>
                </c:pt>
                <c:pt idx="2">
                  <c:v>2.1946724151773584E-2</c:v>
                </c:pt>
              </c:numCache>
            </c:numRef>
          </c:val>
          <c:extLst>
            <c:ext xmlns:c16="http://schemas.microsoft.com/office/drawing/2014/chart" uri="{C3380CC4-5D6E-409C-BE32-E72D297353CC}">
              <c16:uniqueId val="{00000001-5B3D-4172-8DC4-827C03AC1EAC}"/>
            </c:ext>
          </c:extLst>
        </c:ser>
        <c:ser>
          <c:idx val="2"/>
          <c:order val="2"/>
          <c:tx>
            <c:strRef>
              <c:f>uebb008_ExScience!$G$6</c:f>
              <c:strCache>
                <c:ptCount val="1"/>
                <c:pt idx="0">
                  <c:v>Koordinationen</c:v>
                </c:pt>
              </c:strCache>
            </c:strRef>
          </c:tx>
          <c:spPr>
            <a:solidFill>
              <a:schemeClr val="accent3"/>
            </a:solidFill>
            <a:ln>
              <a:solidFill>
                <a:schemeClr val="bg1"/>
              </a:solidFill>
            </a:ln>
          </c:spPr>
          <c:invertIfNegative val="0"/>
          <c:dLbls>
            <c:numFmt formatCode="0.0%" sourceLinked="0"/>
            <c:spPr>
              <a:noFill/>
              <a:ln>
                <a:noFill/>
              </a:ln>
              <a:effectLst/>
            </c:spPr>
            <c:txPr>
              <a:bodyPr/>
              <a:lstStyle/>
              <a:p>
                <a:pPr>
                  <a:defRPr sz="12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uebb008_ExScience!$D$7:$D$9</c:f>
              <c:strCache>
                <c:ptCount val="3"/>
                <c:pt idx="0">
                  <c:v>European Research Council (ERC)</c:v>
                </c:pt>
                <c:pt idx="1">
                  <c:v>Marie Skłodowska-Curie Actions (MSCA)</c:v>
                </c:pt>
                <c:pt idx="2">
                  <c:v>Research infrastructures</c:v>
                </c:pt>
              </c:strCache>
            </c:strRef>
          </c:cat>
          <c:val>
            <c:numRef>
              <c:f>uebb008_ExScience!$G$7:$G$9</c:f>
              <c:numCache>
                <c:formatCode>0.0%</c:formatCode>
                <c:ptCount val="3"/>
                <c:pt idx="0">
                  <c:v>4.159041756779238E-2</c:v>
                </c:pt>
                <c:pt idx="1">
                  <c:v>3.0129808264856495E-2</c:v>
                </c:pt>
                <c:pt idx="2">
                  <c:v>2.3809523809523808E-2</c:v>
                </c:pt>
              </c:numCache>
            </c:numRef>
          </c:val>
          <c:extLst>
            <c:ext xmlns:c16="http://schemas.microsoft.com/office/drawing/2014/chart" uri="{C3380CC4-5D6E-409C-BE32-E72D297353CC}">
              <c16:uniqueId val="{00000002-5B3D-4172-8DC4-827C03AC1EAC}"/>
            </c:ext>
          </c:extLst>
        </c:ser>
        <c:dLbls>
          <c:showLegendKey val="0"/>
          <c:showVal val="0"/>
          <c:showCatName val="0"/>
          <c:showSerName val="0"/>
          <c:showPercent val="0"/>
          <c:showBubbleSize val="0"/>
        </c:dLbls>
        <c:gapWidth val="117"/>
        <c:axId val="327522176"/>
        <c:axId val="327523712"/>
      </c:barChart>
      <c:catAx>
        <c:axId val="327522176"/>
        <c:scaling>
          <c:orientation val="minMax"/>
        </c:scaling>
        <c:delete val="0"/>
        <c:axPos val="b"/>
        <c:numFmt formatCode="General" sourceLinked="0"/>
        <c:majorTickMark val="none"/>
        <c:minorTickMark val="none"/>
        <c:tickLblPos val="nextTo"/>
        <c:spPr>
          <a:ln>
            <a:noFill/>
          </a:ln>
        </c:spPr>
        <c:txPr>
          <a:bodyPr/>
          <a:lstStyle/>
          <a:p>
            <a:pPr>
              <a:defRPr sz="1100"/>
            </a:pPr>
            <a:endParaRPr lang="de-DE"/>
          </a:p>
        </c:txPr>
        <c:crossAx val="327523712"/>
        <c:crosses val="autoZero"/>
        <c:auto val="1"/>
        <c:lblAlgn val="ctr"/>
        <c:lblOffset val="100"/>
        <c:noMultiLvlLbl val="0"/>
      </c:catAx>
      <c:valAx>
        <c:axId val="327523712"/>
        <c:scaling>
          <c:orientation val="minMax"/>
        </c:scaling>
        <c:delete val="1"/>
        <c:axPos val="l"/>
        <c:numFmt formatCode="0.0%" sourceLinked="1"/>
        <c:majorTickMark val="out"/>
        <c:minorTickMark val="none"/>
        <c:tickLblPos val="nextTo"/>
        <c:crossAx val="327522176"/>
        <c:crosses val="autoZero"/>
        <c:crossBetween val="between"/>
        <c:majorUnit val="1.0000000000000002E-2"/>
      </c:valAx>
    </c:plotArea>
    <c:legend>
      <c:legendPos val="b"/>
      <c:layout>
        <c:manualLayout>
          <c:xMode val="edge"/>
          <c:yMode val="edge"/>
          <c:x val="0.1851278516202737"/>
          <c:y val="5.9726188450412242E-2"/>
          <c:w val="0.54422115854507092"/>
          <c:h val="4.4623004214025486E-2"/>
        </c:manualLayout>
      </c:layout>
      <c:overlay val="0"/>
      <c:spPr>
        <a:ln>
          <a:noFill/>
        </a:ln>
      </c:spPr>
      <c:txPr>
        <a:bodyPr/>
        <a:lstStyle/>
        <a:p>
          <a:pPr>
            <a:defRPr sz="1400"/>
          </a:pPr>
          <a:endParaRPr lang="de-DE"/>
        </a:p>
      </c:txPr>
    </c:legend>
    <c:plotVisOnly val="1"/>
    <c:dispBlanksAs val="gap"/>
    <c:showDLblsOverMax val="0"/>
  </c:chart>
  <c:spPr>
    <a:ln>
      <a:noFill/>
    </a:ln>
  </c:spPr>
  <c:txPr>
    <a:bodyPr/>
    <a:lstStyle/>
    <a:p>
      <a:pPr>
        <a:defRPr sz="9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6496C8"/>
            </a:solidFill>
          </c:spPr>
          <c:invertIfNegative val="0"/>
          <c:dLbls>
            <c:numFmt formatCode="#,##0.00" sourceLinked="0"/>
            <c:spPr>
              <a:noFill/>
              <a:ln>
                <a:noFill/>
              </a:ln>
              <a:effectLst/>
            </c:spPr>
            <c:txPr>
              <a:bodyPr wrap="square" lIns="38100" tIns="19050" rIns="38100" bIns="19050" anchor="ctr">
                <a:spAutoFit/>
              </a:bodyPr>
              <a:lstStyle/>
              <a:p>
                <a:pPr>
                  <a:defRPr sz="12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uebb008_ExScience!$D$31:$D$34</c15:sqref>
                  </c15:fullRef>
                </c:ext>
              </c:extLst>
              <c:f>uebb008_ExScience!$D$31:$D$33</c:f>
              <c:strCache>
                <c:ptCount val="3"/>
                <c:pt idx="0">
                  <c:v>European Research Council (ERC)</c:v>
                </c:pt>
                <c:pt idx="1">
                  <c:v>Marie Skłodowska-Curie Actions (MSCA)</c:v>
                </c:pt>
                <c:pt idx="2">
                  <c:v>Research infrastructures</c:v>
                </c:pt>
              </c:strCache>
            </c:strRef>
          </c:cat>
          <c:val>
            <c:numRef>
              <c:extLst>
                <c:ext xmlns:c15="http://schemas.microsoft.com/office/drawing/2012/chart" uri="{02D57815-91ED-43cb-92C2-25804820EDAC}">
                  <c15:fullRef>
                    <c15:sqref>uebb008_ExScience!$E$31:$E$34</c15:sqref>
                  </c15:fullRef>
                </c:ext>
              </c:extLst>
              <c:f>uebb008_ExScience!$E$31:$E$33</c:f>
              <c:numCache>
                <c:formatCode>#,##0.0</c:formatCode>
                <c:ptCount val="3"/>
                <c:pt idx="0">
                  <c:v>10799.60712303</c:v>
                </c:pt>
                <c:pt idx="1">
                  <c:v>4478.54756705</c:v>
                </c:pt>
                <c:pt idx="2">
                  <c:v>1630.83280459</c:v>
                </c:pt>
              </c:numCache>
            </c:numRef>
          </c:val>
          <c:extLst>
            <c:ext xmlns:c16="http://schemas.microsoft.com/office/drawing/2014/chart" uri="{C3380CC4-5D6E-409C-BE32-E72D297353CC}">
              <c16:uniqueId val="{00000000-714F-4FFA-BA8D-22BB58D2C38B}"/>
            </c:ext>
          </c:extLst>
        </c:ser>
        <c:dLbls>
          <c:showLegendKey val="0"/>
          <c:showVal val="0"/>
          <c:showCatName val="0"/>
          <c:showSerName val="0"/>
          <c:showPercent val="0"/>
          <c:showBubbleSize val="0"/>
        </c:dLbls>
        <c:gapWidth val="150"/>
        <c:axId val="327552384"/>
        <c:axId val="327558272"/>
      </c:barChart>
      <c:catAx>
        <c:axId val="327552384"/>
        <c:scaling>
          <c:orientation val="minMax"/>
        </c:scaling>
        <c:delete val="0"/>
        <c:axPos val="b"/>
        <c:numFmt formatCode="General" sourceLinked="0"/>
        <c:majorTickMark val="out"/>
        <c:minorTickMark val="none"/>
        <c:tickLblPos val="nextTo"/>
        <c:spPr>
          <a:ln>
            <a:noFill/>
          </a:ln>
        </c:spPr>
        <c:crossAx val="327558272"/>
        <c:crosses val="autoZero"/>
        <c:auto val="1"/>
        <c:lblAlgn val="ctr"/>
        <c:lblOffset val="100"/>
        <c:noMultiLvlLbl val="0"/>
      </c:catAx>
      <c:valAx>
        <c:axId val="327558272"/>
        <c:scaling>
          <c:orientation val="minMax"/>
        </c:scaling>
        <c:delete val="0"/>
        <c:axPos val="l"/>
        <c:numFmt formatCode="#,##0.0" sourceLinked="1"/>
        <c:majorTickMark val="out"/>
        <c:minorTickMark val="none"/>
        <c:tickLblPos val="none"/>
        <c:spPr>
          <a:ln>
            <a:noFill/>
          </a:ln>
        </c:spPr>
        <c:crossAx val="327552384"/>
        <c:crosses val="autoZero"/>
        <c:crossBetween val="between"/>
      </c:valAx>
    </c:plotArea>
    <c:plotVisOnly val="1"/>
    <c:dispBlanksAs val="gap"/>
    <c:showDLblsOverMax val="0"/>
  </c:chart>
  <c:spPr>
    <a:ln>
      <a:noFill/>
    </a:ln>
  </c:spPr>
  <c:txPr>
    <a:bodyPr/>
    <a:lstStyle/>
    <a:p>
      <a:pPr>
        <a:defRPr sz="11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734784361144701E-2"/>
          <c:y val="0.12311722331368696"/>
          <c:w val="0.96453043127771065"/>
          <c:h val="0.75309520494614013"/>
        </c:manualLayout>
      </c:layout>
      <c:barChart>
        <c:barDir val="col"/>
        <c:grouping val="clustered"/>
        <c:varyColors val="0"/>
        <c:ser>
          <c:idx val="0"/>
          <c:order val="0"/>
          <c:tx>
            <c:strRef>
              <c:f>uebb_Challenges!$E$6</c:f>
              <c:strCache>
                <c:ptCount val="1"/>
                <c:pt idx="0">
                  <c:v>Beteiligungen</c:v>
                </c:pt>
              </c:strCache>
            </c:strRef>
          </c:tx>
          <c:spPr>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uebb_Challenges!$D$7:$D$12</c:f>
              <c:strCache>
                <c:ptCount val="6"/>
                <c:pt idx="0">
                  <c:v>Health</c:v>
                </c:pt>
                <c:pt idx="1">
                  <c:v>Culture, creativity and inclusive society</c:v>
                </c:pt>
                <c:pt idx="2">
                  <c:v>Civil Security for Society</c:v>
                </c:pt>
                <c:pt idx="3">
                  <c:v>Digital, Industry and Space</c:v>
                </c:pt>
                <c:pt idx="4">
                  <c:v>Climate, Energy and Mobility</c:v>
                </c:pt>
                <c:pt idx="5">
                  <c:v>Food, Bioeconomy Natural Resources, Agriculture and Environment</c:v>
                </c:pt>
              </c:strCache>
            </c:strRef>
          </c:cat>
          <c:val>
            <c:numRef>
              <c:f>uebb_Challenges!$E$7:$E$12</c:f>
              <c:numCache>
                <c:formatCode>0.0%</c:formatCode>
                <c:ptCount val="6"/>
                <c:pt idx="0">
                  <c:v>2.2281486579490709E-2</c:v>
                </c:pt>
                <c:pt idx="1">
                  <c:v>3.4178403755868544E-2</c:v>
                </c:pt>
                <c:pt idx="2">
                  <c:v>2.7795325331648767E-2</c:v>
                </c:pt>
                <c:pt idx="3">
                  <c:v>3.7666211638606603E-2</c:v>
                </c:pt>
                <c:pt idx="4">
                  <c:v>3.3043551654287642E-2</c:v>
                </c:pt>
                <c:pt idx="5">
                  <c:v>2.4367229129662521E-2</c:v>
                </c:pt>
              </c:numCache>
            </c:numRef>
          </c:val>
          <c:extLst>
            <c:ext xmlns:c16="http://schemas.microsoft.com/office/drawing/2014/chart" uri="{C3380CC4-5D6E-409C-BE32-E72D297353CC}">
              <c16:uniqueId val="{00000000-45D3-4461-92CB-36ABF3F45F61}"/>
            </c:ext>
          </c:extLst>
        </c:ser>
        <c:ser>
          <c:idx val="1"/>
          <c:order val="1"/>
          <c:tx>
            <c:strRef>
              <c:f>uebb_Challenges!$F$6</c:f>
              <c:strCache>
                <c:ptCount val="1"/>
                <c:pt idx="0">
                  <c:v>Förderungen</c:v>
                </c:pt>
              </c:strCache>
            </c:strRef>
          </c:tx>
          <c:spPr>
            <a:solidFill>
              <a:schemeClr val="accent2"/>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uebb_Challenges!$D$7:$D$12</c:f>
              <c:strCache>
                <c:ptCount val="6"/>
                <c:pt idx="0">
                  <c:v>Health</c:v>
                </c:pt>
                <c:pt idx="1">
                  <c:v>Culture, creativity and inclusive society</c:v>
                </c:pt>
                <c:pt idx="2">
                  <c:v>Civil Security for Society</c:v>
                </c:pt>
                <c:pt idx="3">
                  <c:v>Digital, Industry and Space</c:v>
                </c:pt>
                <c:pt idx="4">
                  <c:v>Climate, Energy and Mobility</c:v>
                </c:pt>
                <c:pt idx="5">
                  <c:v>Food, Bioeconomy Natural Resources, Agriculture and Environment</c:v>
                </c:pt>
              </c:strCache>
            </c:strRef>
          </c:cat>
          <c:val>
            <c:numRef>
              <c:f>uebb_Challenges!$F$7:$F$12</c:f>
              <c:numCache>
                <c:formatCode>0.0%</c:formatCode>
                <c:ptCount val="6"/>
                <c:pt idx="0">
                  <c:v>2.5811650109043929E-2</c:v>
                </c:pt>
                <c:pt idx="1">
                  <c:v>4.162745541073825E-2</c:v>
                </c:pt>
                <c:pt idx="2">
                  <c:v>3.7716038690545177E-2</c:v>
                </c:pt>
                <c:pt idx="3">
                  <c:v>3.6074575221717101E-2</c:v>
                </c:pt>
                <c:pt idx="4">
                  <c:v>3.8183207069125237E-2</c:v>
                </c:pt>
                <c:pt idx="5">
                  <c:v>2.5355837186323182E-2</c:v>
                </c:pt>
              </c:numCache>
            </c:numRef>
          </c:val>
          <c:extLst>
            <c:ext xmlns:c16="http://schemas.microsoft.com/office/drawing/2014/chart" uri="{C3380CC4-5D6E-409C-BE32-E72D297353CC}">
              <c16:uniqueId val="{00000001-45D3-4461-92CB-36ABF3F45F61}"/>
            </c:ext>
          </c:extLst>
        </c:ser>
        <c:ser>
          <c:idx val="2"/>
          <c:order val="2"/>
          <c:tx>
            <c:strRef>
              <c:f>uebb_Challenges!$G$6</c:f>
              <c:strCache>
                <c:ptCount val="1"/>
                <c:pt idx="0">
                  <c:v>Koordinationen</c:v>
                </c:pt>
              </c:strCache>
            </c:strRef>
          </c:tx>
          <c:spPr>
            <a:solidFill>
              <a:schemeClr val="accent3"/>
            </a:solidFill>
            <a:ln>
              <a:solidFill>
                <a:schemeClr val="bg1"/>
              </a:solidFill>
            </a:ln>
          </c:spPr>
          <c:invertIfNegative val="0"/>
          <c:dLbls>
            <c:spPr>
              <a:noFill/>
              <a:ln>
                <a:noFill/>
              </a:ln>
              <a:effectLst/>
            </c:spPr>
            <c:txPr>
              <a:bodyPr/>
              <a:lstStyle/>
              <a:p>
                <a:pPr>
                  <a:defRPr sz="105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uebb_Challenges!$D$7:$D$12</c:f>
              <c:strCache>
                <c:ptCount val="6"/>
                <c:pt idx="0">
                  <c:v>Health</c:v>
                </c:pt>
                <c:pt idx="1">
                  <c:v>Culture, creativity and inclusive society</c:v>
                </c:pt>
                <c:pt idx="2">
                  <c:v>Civil Security for Society</c:v>
                </c:pt>
                <c:pt idx="3">
                  <c:v>Digital, Industry and Space</c:v>
                </c:pt>
                <c:pt idx="4">
                  <c:v>Climate, Energy and Mobility</c:v>
                </c:pt>
                <c:pt idx="5">
                  <c:v>Food, Bioeconomy Natural Resources, Agriculture and Environment</c:v>
                </c:pt>
              </c:strCache>
            </c:strRef>
          </c:cat>
          <c:val>
            <c:numRef>
              <c:f>uebb_Challenges!$G$7:$G$12</c:f>
              <c:numCache>
                <c:formatCode>0.0%</c:formatCode>
                <c:ptCount val="6"/>
                <c:pt idx="0">
                  <c:v>2.4147727272727272E-2</c:v>
                </c:pt>
                <c:pt idx="1">
                  <c:v>5.2256532066508314E-2</c:v>
                </c:pt>
                <c:pt idx="2">
                  <c:v>3.608247422680412E-2</c:v>
                </c:pt>
                <c:pt idx="3">
                  <c:v>3.6891679748822605E-2</c:v>
                </c:pt>
                <c:pt idx="4">
                  <c:v>4.808362369337979E-2</c:v>
                </c:pt>
                <c:pt idx="5">
                  <c:v>2.7083333333333334E-2</c:v>
                </c:pt>
              </c:numCache>
            </c:numRef>
          </c:val>
          <c:extLst>
            <c:ext xmlns:c16="http://schemas.microsoft.com/office/drawing/2014/chart" uri="{C3380CC4-5D6E-409C-BE32-E72D297353CC}">
              <c16:uniqueId val="{00000002-45D3-4461-92CB-36ABF3F45F61}"/>
            </c:ext>
          </c:extLst>
        </c:ser>
        <c:dLbls>
          <c:showLegendKey val="0"/>
          <c:showVal val="0"/>
          <c:showCatName val="0"/>
          <c:showSerName val="0"/>
          <c:showPercent val="0"/>
          <c:showBubbleSize val="0"/>
        </c:dLbls>
        <c:gapWidth val="117"/>
        <c:axId val="327522176"/>
        <c:axId val="327523712"/>
      </c:barChart>
      <c:catAx>
        <c:axId val="327522176"/>
        <c:scaling>
          <c:orientation val="minMax"/>
        </c:scaling>
        <c:delete val="0"/>
        <c:axPos val="b"/>
        <c:numFmt formatCode="General" sourceLinked="0"/>
        <c:majorTickMark val="none"/>
        <c:minorTickMark val="none"/>
        <c:tickLblPos val="nextTo"/>
        <c:spPr>
          <a:ln>
            <a:noFill/>
          </a:ln>
        </c:spPr>
        <c:txPr>
          <a:bodyPr/>
          <a:lstStyle/>
          <a:p>
            <a:pPr>
              <a:defRPr sz="1100"/>
            </a:pPr>
            <a:endParaRPr lang="de-DE"/>
          </a:p>
        </c:txPr>
        <c:crossAx val="327523712"/>
        <c:crosses val="autoZero"/>
        <c:auto val="1"/>
        <c:lblAlgn val="ctr"/>
        <c:lblOffset val="100"/>
        <c:noMultiLvlLbl val="0"/>
      </c:catAx>
      <c:valAx>
        <c:axId val="327523712"/>
        <c:scaling>
          <c:orientation val="minMax"/>
        </c:scaling>
        <c:delete val="1"/>
        <c:axPos val="l"/>
        <c:numFmt formatCode="0.0%" sourceLinked="1"/>
        <c:majorTickMark val="out"/>
        <c:minorTickMark val="none"/>
        <c:tickLblPos val="nextTo"/>
        <c:crossAx val="327522176"/>
        <c:crosses val="autoZero"/>
        <c:crossBetween val="between"/>
        <c:majorUnit val="1.0000000000000002E-2"/>
      </c:valAx>
    </c:plotArea>
    <c:legend>
      <c:legendPos val="b"/>
      <c:layout>
        <c:manualLayout>
          <c:xMode val="edge"/>
          <c:yMode val="edge"/>
          <c:x val="0.24760216316980105"/>
          <c:y val="5.9726130545157262E-2"/>
          <c:w val="0.50311963778880286"/>
          <c:h val="5.5441246073748972E-2"/>
        </c:manualLayout>
      </c:layout>
      <c:overlay val="0"/>
      <c:spPr>
        <a:ln>
          <a:noFill/>
        </a:ln>
      </c:spPr>
      <c:txPr>
        <a:bodyPr/>
        <a:lstStyle/>
        <a:p>
          <a:pPr>
            <a:defRPr sz="1200"/>
          </a:pPr>
          <a:endParaRPr lang="de-DE"/>
        </a:p>
      </c:txPr>
    </c:legend>
    <c:plotVisOnly val="1"/>
    <c:dispBlanksAs val="gap"/>
    <c:showDLblsOverMax val="0"/>
  </c:chart>
  <c:spPr>
    <a:ln>
      <a:noFill/>
    </a:ln>
  </c:spPr>
  <c:txPr>
    <a:bodyPr/>
    <a:lstStyle/>
    <a:p>
      <a:pPr>
        <a:defRPr sz="9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6496C8"/>
            </a:solidFill>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uebb_Challenges!$D$30:$D$35</c:f>
              <c:strCache>
                <c:ptCount val="6"/>
                <c:pt idx="0">
                  <c:v>Health</c:v>
                </c:pt>
                <c:pt idx="1">
                  <c:v>Culture, creativity and inclusive society</c:v>
                </c:pt>
                <c:pt idx="2">
                  <c:v>Civil Security for Society</c:v>
                </c:pt>
                <c:pt idx="3">
                  <c:v>Digital, Industry and Space</c:v>
                </c:pt>
                <c:pt idx="4">
                  <c:v>Climate, Energy and Mobility</c:v>
                </c:pt>
                <c:pt idx="5">
                  <c:v>Food, Bioeconomy Natural Resources, Agriculture and Environment</c:v>
                </c:pt>
              </c:strCache>
            </c:strRef>
          </c:cat>
          <c:val>
            <c:numRef>
              <c:f>uebb_Challenges!$E$30:$E$35</c:f>
              <c:numCache>
                <c:formatCode>#,##0.0</c:formatCode>
                <c:ptCount val="6"/>
                <c:pt idx="0">
                  <c:v>5761.3860900700201</c:v>
                </c:pt>
                <c:pt idx="1">
                  <c:v>1434.5504329</c:v>
                </c:pt>
                <c:pt idx="2">
                  <c:v>819.85458451</c:v>
                </c:pt>
                <c:pt idx="3">
                  <c:v>9003.9758748000386</c:v>
                </c:pt>
                <c:pt idx="4">
                  <c:v>9987.6716099200312</c:v>
                </c:pt>
                <c:pt idx="5">
                  <c:v>6071.6248822200405</c:v>
                </c:pt>
              </c:numCache>
            </c:numRef>
          </c:val>
          <c:extLst>
            <c:ext xmlns:c16="http://schemas.microsoft.com/office/drawing/2014/chart" uri="{C3380CC4-5D6E-409C-BE32-E72D297353CC}">
              <c16:uniqueId val="{00000000-1DF0-4F04-B22A-A564D4C431BE}"/>
            </c:ext>
          </c:extLst>
        </c:ser>
        <c:dLbls>
          <c:showLegendKey val="0"/>
          <c:showVal val="0"/>
          <c:showCatName val="0"/>
          <c:showSerName val="0"/>
          <c:showPercent val="0"/>
          <c:showBubbleSize val="0"/>
        </c:dLbls>
        <c:gapWidth val="150"/>
        <c:axId val="327552384"/>
        <c:axId val="327558272"/>
      </c:barChart>
      <c:catAx>
        <c:axId val="327552384"/>
        <c:scaling>
          <c:orientation val="minMax"/>
        </c:scaling>
        <c:delete val="0"/>
        <c:axPos val="b"/>
        <c:numFmt formatCode="General" sourceLinked="0"/>
        <c:majorTickMark val="out"/>
        <c:minorTickMark val="none"/>
        <c:tickLblPos val="nextTo"/>
        <c:spPr>
          <a:ln>
            <a:noFill/>
          </a:ln>
        </c:spPr>
        <c:crossAx val="327558272"/>
        <c:crosses val="autoZero"/>
        <c:auto val="1"/>
        <c:lblAlgn val="ctr"/>
        <c:lblOffset val="100"/>
        <c:noMultiLvlLbl val="0"/>
      </c:catAx>
      <c:valAx>
        <c:axId val="327558272"/>
        <c:scaling>
          <c:orientation val="minMax"/>
        </c:scaling>
        <c:delete val="0"/>
        <c:axPos val="l"/>
        <c:numFmt formatCode="#,##0.0" sourceLinked="1"/>
        <c:majorTickMark val="out"/>
        <c:minorTickMark val="none"/>
        <c:tickLblPos val="none"/>
        <c:spPr>
          <a:ln>
            <a:noFill/>
          </a:ln>
        </c:spPr>
        <c:crossAx val="327552384"/>
        <c:crosses val="autoZero"/>
        <c:crossBetween val="between"/>
      </c:valAx>
    </c:plotArea>
    <c:plotVisOnly val="0"/>
    <c:dispBlanksAs val="gap"/>
    <c:showDLblsOverMax val="0"/>
  </c:chart>
  <c:spPr>
    <a:ln>
      <a:noFill/>
    </a:ln>
  </c:spPr>
  <c:txPr>
    <a:bodyPr/>
    <a:lstStyle/>
    <a:p>
      <a:pPr>
        <a:defRPr sz="1100" baseline="0">
          <a:solidFill>
            <a:sysClr val="windowText" lastClr="000000"/>
          </a:solidFill>
          <a:latin typeface="+mn-lt"/>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1.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1</xdr:col>
      <xdr:colOff>825525</xdr:colOff>
      <xdr:row>3</xdr:row>
      <xdr:rowOff>101625</xdr:rowOff>
    </xdr:from>
    <xdr:to>
      <xdr:col>1</xdr:col>
      <xdr:colOff>3526902</xdr:colOff>
      <xdr:row>9</xdr:row>
      <xdr:rowOff>125625</xdr:rowOff>
    </xdr:to>
    <xdr:pic>
      <xdr:nvPicPr>
        <xdr:cNvPr id="2" name="Grafik 1" title="FFG Logo">
          <a:extLst>
            <a:ext uri="{FF2B5EF4-FFF2-40B4-BE49-F238E27FC236}">
              <a16:creationId xmlns:a16="http://schemas.microsoft.com/office/drawing/2014/main" id="{441932AD-21EC-3149-B261-BA258434B7F4}"/>
            </a:ext>
          </a:extLst>
        </xdr:cNvPr>
        <xdr:cNvPicPr>
          <a:picLocks noChangeAspect="1"/>
        </xdr:cNvPicPr>
      </xdr:nvPicPr>
      <xdr:blipFill>
        <a:blip xmlns:r="http://schemas.openxmlformats.org/officeDocument/2006/relationships" r:embed="rId1"/>
        <a:stretch>
          <a:fillRect/>
        </a:stretch>
      </xdr:blipFill>
      <xdr:spPr>
        <a:xfrm>
          <a:off x="3949725" y="587400"/>
          <a:ext cx="2701377" cy="1024125"/>
        </a:xfrm>
        <a:prstGeom prst="rect">
          <a:avLst/>
        </a:prstGeom>
      </xdr:spPr>
    </xdr:pic>
    <xdr:clientData/>
  </xdr:twoCellAnchor>
  <xdr:twoCellAnchor editAs="oneCell">
    <xdr:from>
      <xdr:col>0</xdr:col>
      <xdr:colOff>55563</xdr:colOff>
      <xdr:row>52</xdr:row>
      <xdr:rowOff>71437</xdr:rowOff>
    </xdr:from>
    <xdr:to>
      <xdr:col>1</xdr:col>
      <xdr:colOff>3635376</xdr:colOff>
      <xdr:row>57</xdr:row>
      <xdr:rowOff>38498</xdr:rowOff>
    </xdr:to>
    <xdr:pic>
      <xdr:nvPicPr>
        <xdr:cNvPr id="5" name="Grafik 4">
          <a:extLst>
            <a:ext uri="{FF2B5EF4-FFF2-40B4-BE49-F238E27FC236}">
              <a16:creationId xmlns:a16="http://schemas.microsoft.com/office/drawing/2014/main" id="{1D5B1267-FF58-2533-3147-D4C2A763F9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563" y="9572625"/>
          <a:ext cx="6834188" cy="7608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247650</xdr:colOff>
      <xdr:row>2</xdr:row>
      <xdr:rowOff>190500</xdr:rowOff>
    </xdr:from>
    <xdr:to>
      <xdr:col>12</xdr:col>
      <xdr:colOff>1295400</xdr:colOff>
      <xdr:row>22</xdr:row>
      <xdr:rowOff>104775</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4760</xdr:colOff>
      <xdr:row>25</xdr:row>
      <xdr:rowOff>209551</xdr:rowOff>
    </xdr:from>
    <xdr:to>
      <xdr:col>12</xdr:col>
      <xdr:colOff>1285874</xdr:colOff>
      <xdr:row>34</xdr:row>
      <xdr:rowOff>57151</xdr:rowOff>
    </xdr:to>
    <xdr:graphicFrame macro="">
      <xdr:nvGraphicFramePr>
        <xdr:cNvPr id="3" name="Diagramm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19050</xdr:colOff>
      <xdr:row>2</xdr:row>
      <xdr:rowOff>133350</xdr:rowOff>
    </xdr:from>
    <xdr:to>
      <xdr:col>13</xdr:col>
      <xdr:colOff>9525</xdr:colOff>
      <xdr:row>22</xdr:row>
      <xdr:rowOff>0</xdr:rowOff>
    </xdr:to>
    <xdr:graphicFrame macro="">
      <xdr:nvGraphicFramePr>
        <xdr:cNvPr id="2" name="Diagram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23810</xdr:colOff>
      <xdr:row>24</xdr:row>
      <xdr:rowOff>123826</xdr:rowOff>
    </xdr:from>
    <xdr:to>
      <xdr:col>12</xdr:col>
      <xdr:colOff>1304924</xdr:colOff>
      <xdr:row>31</xdr:row>
      <xdr:rowOff>161926</xdr:rowOff>
    </xdr:to>
    <xdr:graphicFrame macro="">
      <xdr:nvGraphicFramePr>
        <xdr:cNvPr id="3" name="Diagramm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19049</xdr:colOff>
      <xdr:row>3</xdr:row>
      <xdr:rowOff>93662</xdr:rowOff>
    </xdr:from>
    <xdr:to>
      <xdr:col>8</xdr:col>
      <xdr:colOff>819150</xdr:colOff>
      <xdr:row>22</xdr:row>
      <xdr:rowOff>107950</xdr:rowOff>
    </xdr:to>
    <xdr:graphicFrame macro="">
      <xdr:nvGraphicFramePr>
        <xdr:cNvPr id="7" name="Diagramm 6">
          <a:extLst>
            <a:ext uri="{FF2B5EF4-FFF2-40B4-BE49-F238E27FC236}">
              <a16:creationId xmlns:a16="http://schemas.microsoft.com/office/drawing/2014/main" id="{00000000-0008-0000-0E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19842</xdr:colOff>
      <xdr:row>22</xdr:row>
      <xdr:rowOff>295274</xdr:rowOff>
    </xdr:from>
    <xdr:to>
      <xdr:col>8</xdr:col>
      <xdr:colOff>860424</xdr:colOff>
      <xdr:row>45</xdr:row>
      <xdr:rowOff>117474</xdr:rowOff>
    </xdr:to>
    <xdr:graphicFrame macro="">
      <xdr:nvGraphicFramePr>
        <xdr:cNvPr id="4" name="Diagramm 3">
          <a:extLst>
            <a:ext uri="{FF2B5EF4-FFF2-40B4-BE49-F238E27FC236}">
              <a16:creationId xmlns:a16="http://schemas.microsoft.com/office/drawing/2014/main" id="{00000000-0008-0000-0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0.80992</cdr:x>
      <cdr:y>0.78221</cdr:y>
    </cdr:from>
    <cdr:to>
      <cdr:x>0.98736</cdr:x>
      <cdr:y>0.9115</cdr:y>
    </cdr:to>
    <cdr:sp macro="" textlink="">
      <cdr:nvSpPr>
        <cdr:cNvPr id="2" name="Textfeld 1"/>
        <cdr:cNvSpPr txBox="1"/>
      </cdr:nvSpPr>
      <cdr:spPr>
        <a:xfrm xmlns:a="http://schemas.openxmlformats.org/drawingml/2006/main">
          <a:off x="6534151" y="3639594"/>
          <a:ext cx="1431550" cy="601582"/>
        </a:xfrm>
        <a:prstGeom xmlns:a="http://schemas.openxmlformats.org/drawingml/2006/main" prst="rect">
          <a:avLst/>
        </a:prstGeom>
      </cdr:spPr>
      <cdr:txBody>
        <a:bodyPr xmlns:a="http://schemas.openxmlformats.org/drawingml/2006/main" wrap="square"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e-AT" sz="1050">
              <a:latin typeface="+mn-lt"/>
              <a:cs typeface="Arial" panose="020B0604020202020204" pitchFamily="34" charset="0"/>
            </a:rPr>
            <a:t>Absolutwerte nach Organisationstypen</a:t>
          </a:r>
        </a:p>
      </cdr:txBody>
    </cdr:sp>
  </cdr:relSizeAnchor>
</c:userShapes>
</file>

<file path=xl/drawings/drawing14.xml><?xml version="1.0" encoding="utf-8"?>
<c:userShapes xmlns:c="http://schemas.openxmlformats.org/drawingml/2006/chart">
  <cdr:relSizeAnchor xmlns:cdr="http://schemas.openxmlformats.org/drawingml/2006/chartDrawing">
    <cdr:from>
      <cdr:x>0.00977</cdr:x>
      <cdr:y>0.04248</cdr:y>
    </cdr:from>
    <cdr:to>
      <cdr:x>0.78022</cdr:x>
      <cdr:y>0.12055</cdr:y>
    </cdr:to>
    <cdr:sp macro="" textlink="">
      <cdr:nvSpPr>
        <cdr:cNvPr id="2" name="Textfeld 1"/>
        <cdr:cNvSpPr txBox="1"/>
      </cdr:nvSpPr>
      <cdr:spPr>
        <a:xfrm xmlns:a="http://schemas.openxmlformats.org/drawingml/2006/main">
          <a:off x="76201" y="176213"/>
          <a:ext cx="60102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AT" sz="1400">
              <a:solidFill>
                <a:sysClr val="windowText" lastClr="000000"/>
              </a:solidFill>
              <a:latin typeface="+mn-lt"/>
              <a:cs typeface="Arial" panose="020B0604020202020204" pitchFamily="34" charset="0"/>
            </a:rPr>
            <a:t>Beteiligungen aus Österreich und EU-27 nach Organisationstypen</a:t>
          </a:r>
        </a:p>
      </cdr:txBody>
    </cdr:sp>
  </cdr:relSizeAnchor>
  <cdr:relSizeAnchor xmlns:cdr="http://schemas.openxmlformats.org/drawingml/2006/chartDrawing">
    <cdr:from>
      <cdr:x>0.01238</cdr:x>
      <cdr:y>0.48816</cdr:y>
    </cdr:from>
    <cdr:to>
      <cdr:x>0.88008</cdr:x>
      <cdr:y>0.55643</cdr:y>
    </cdr:to>
    <cdr:sp macro="" textlink="">
      <cdr:nvSpPr>
        <cdr:cNvPr id="3" name="Textfeld 1"/>
        <cdr:cNvSpPr txBox="1"/>
      </cdr:nvSpPr>
      <cdr:spPr>
        <a:xfrm xmlns:a="http://schemas.openxmlformats.org/drawingml/2006/main">
          <a:off x="99326" y="2515501"/>
          <a:ext cx="6961082" cy="351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AT" sz="1400">
              <a:solidFill>
                <a:sysClr val="windowText" lastClr="000000"/>
              </a:solidFill>
              <a:latin typeface="+mn-lt"/>
              <a:cs typeface="Arial" panose="020B0604020202020204" pitchFamily="34" charset="0"/>
            </a:rPr>
            <a:t>Beteiligungen aus Österreich nach Organisationstypen im Vergleich der Rahmenprogramme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314324</xdr:colOff>
      <xdr:row>3</xdr:row>
      <xdr:rowOff>38100</xdr:rowOff>
    </xdr:from>
    <xdr:to>
      <xdr:col>8</xdr:col>
      <xdr:colOff>1076324</xdr:colOff>
      <xdr:row>27</xdr:row>
      <xdr:rowOff>114300</xdr:rowOff>
    </xdr:to>
    <xdr:graphicFrame macro="">
      <xdr:nvGraphicFramePr>
        <xdr:cNvPr id="2" name="Diagramm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0.68634</cdr:x>
      <cdr:y>0.32992</cdr:y>
    </cdr:from>
    <cdr:to>
      <cdr:x>0.79606</cdr:x>
      <cdr:y>0.3832</cdr:y>
    </cdr:to>
    <cdr:sp macro="" textlink="uebb038_Landkarte_Bundeslae!$W$9">
      <cdr:nvSpPr>
        <cdr:cNvPr id="2" name="Textfeld 1"/>
        <cdr:cNvSpPr txBox="1"/>
      </cdr:nvSpPr>
      <cdr:spPr>
        <a:xfrm xmlns:a="http://schemas.openxmlformats.org/drawingml/2006/main">
          <a:off x="5481639" y="1533525"/>
          <a:ext cx="8763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BC36731-7D28-4B4A-BED9-083EC9D3813D}" type="TxLink">
            <a:rPr lang="en-US" sz="1200" b="0" i="0" u="none" strike="noStrike">
              <a:solidFill>
                <a:sysClr val="windowText" lastClr="000000"/>
              </a:solidFill>
              <a:latin typeface="+mn-lt"/>
              <a:cs typeface="Arial"/>
            </a:rPr>
            <a:pPr/>
            <a:t> € 189,11 </a:t>
          </a:fld>
          <a:endParaRPr lang="de-AT" sz="1600">
            <a:solidFill>
              <a:sysClr val="windowText" lastClr="000000"/>
            </a:solidFill>
            <a:latin typeface="+mn-lt"/>
          </a:endParaRPr>
        </a:p>
      </cdr:txBody>
    </cdr:sp>
  </cdr:relSizeAnchor>
  <cdr:relSizeAnchor xmlns:cdr="http://schemas.openxmlformats.org/drawingml/2006/chartDrawing">
    <cdr:from>
      <cdr:x>0.50149</cdr:x>
      <cdr:y>0.40164</cdr:y>
    </cdr:from>
    <cdr:to>
      <cdr:x>0.5969</cdr:x>
      <cdr:y>0.45492</cdr:y>
    </cdr:to>
    <cdr:sp macro="" textlink="uebb038_Landkarte_Bundeslae!$W$8">
      <cdr:nvSpPr>
        <cdr:cNvPr id="3" name="Textfeld 2"/>
        <cdr:cNvSpPr txBox="1"/>
      </cdr:nvSpPr>
      <cdr:spPr>
        <a:xfrm xmlns:a="http://schemas.openxmlformats.org/drawingml/2006/main">
          <a:off x="4005264" y="1866900"/>
          <a:ext cx="7620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F81BA99-E96F-4440-9E25-E547AF685349}" type="TxLink">
            <a:rPr lang="en-US" sz="1200" b="0" i="0" u="none" strike="noStrike">
              <a:solidFill>
                <a:sysClr val="windowText" lastClr="000000"/>
              </a:solidFill>
              <a:latin typeface="+mn-lt"/>
              <a:cs typeface="Arial"/>
            </a:rPr>
            <a:pPr/>
            <a:t> € 105,57 </a:t>
          </a:fld>
          <a:endParaRPr lang="de-AT" sz="1200">
            <a:solidFill>
              <a:sysClr val="windowText" lastClr="000000"/>
            </a:solidFill>
            <a:latin typeface="+mn-lt"/>
          </a:endParaRPr>
        </a:p>
      </cdr:txBody>
    </cdr:sp>
  </cdr:relSizeAnchor>
  <cdr:relSizeAnchor xmlns:cdr="http://schemas.openxmlformats.org/drawingml/2006/chartDrawing">
    <cdr:from>
      <cdr:x>0.60644</cdr:x>
      <cdr:y>0.6209</cdr:y>
    </cdr:from>
    <cdr:to>
      <cdr:x>0.73763</cdr:x>
      <cdr:y>0.67213</cdr:y>
    </cdr:to>
    <cdr:sp macro="" textlink="uebb038_Landkarte_Bundeslae!$W$12">
      <cdr:nvSpPr>
        <cdr:cNvPr id="4" name="Textfeld 3"/>
        <cdr:cNvSpPr txBox="1"/>
      </cdr:nvSpPr>
      <cdr:spPr>
        <a:xfrm xmlns:a="http://schemas.openxmlformats.org/drawingml/2006/main">
          <a:off x="4843464" y="2886075"/>
          <a:ext cx="1047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67B3497-B89E-4F51-968C-5812BFE1E238}" type="TxLink">
            <a:rPr lang="en-US" sz="1200" b="0" i="0" u="none" strike="noStrike">
              <a:solidFill>
                <a:sysClr val="windowText" lastClr="000000"/>
              </a:solidFill>
              <a:latin typeface="+mn-lt"/>
              <a:cs typeface="Arial"/>
            </a:rPr>
            <a:pPr/>
            <a:t> € 386,91 </a:t>
          </a:fld>
          <a:endParaRPr lang="de-AT" sz="1200">
            <a:solidFill>
              <a:sysClr val="windowText" lastClr="000000"/>
            </a:solidFill>
            <a:latin typeface="+mn-lt"/>
          </a:endParaRPr>
        </a:p>
      </cdr:txBody>
    </cdr:sp>
  </cdr:relSizeAnchor>
  <cdr:relSizeAnchor xmlns:cdr="http://schemas.openxmlformats.org/drawingml/2006/chartDrawing">
    <cdr:from>
      <cdr:x>0.79487</cdr:x>
      <cdr:y>0.56557</cdr:y>
    </cdr:from>
    <cdr:to>
      <cdr:x>0.89744</cdr:x>
      <cdr:y>0.62705</cdr:y>
    </cdr:to>
    <cdr:sp macro="" textlink="uebb038_Landkarte_Bundeslae!$W$13">
      <cdr:nvSpPr>
        <cdr:cNvPr id="5" name="Textfeld 4"/>
        <cdr:cNvSpPr txBox="1"/>
      </cdr:nvSpPr>
      <cdr:spPr>
        <a:xfrm xmlns:a="http://schemas.openxmlformats.org/drawingml/2006/main">
          <a:off x="6348414" y="2628900"/>
          <a:ext cx="8191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E354808-1F1C-4B62-B900-02FED28A6DC5}" type="TxLink">
            <a:rPr lang="en-US" sz="1200" b="0" i="0" u="none" strike="noStrike">
              <a:solidFill>
                <a:sysClr val="windowText" lastClr="000000"/>
              </a:solidFill>
              <a:latin typeface="+mn-lt"/>
              <a:cs typeface="Arial"/>
            </a:rPr>
            <a:pPr/>
            <a:t> € 3,22 </a:t>
          </a:fld>
          <a:endParaRPr lang="de-AT" sz="1200">
            <a:solidFill>
              <a:sysClr val="windowText" lastClr="000000"/>
            </a:solidFill>
            <a:latin typeface="+mn-lt"/>
          </a:endParaRPr>
        </a:p>
      </cdr:txBody>
    </cdr:sp>
  </cdr:relSizeAnchor>
  <cdr:relSizeAnchor xmlns:cdr="http://schemas.openxmlformats.org/drawingml/2006/chartDrawing">
    <cdr:from>
      <cdr:x>0.59571</cdr:x>
      <cdr:y>0.77254</cdr:y>
    </cdr:from>
    <cdr:to>
      <cdr:x>0.68038</cdr:x>
      <cdr:y>0.85861</cdr:y>
    </cdr:to>
    <cdr:sp macro="" textlink="">
      <cdr:nvSpPr>
        <cdr:cNvPr id="6" name="Textfeld 5"/>
        <cdr:cNvSpPr txBox="1"/>
      </cdr:nvSpPr>
      <cdr:spPr>
        <a:xfrm xmlns:a="http://schemas.openxmlformats.org/drawingml/2006/main">
          <a:off x="4757739" y="3590925"/>
          <a:ext cx="676275" cy="400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AT" sz="1100"/>
        </a:p>
      </cdr:txBody>
    </cdr:sp>
  </cdr:relSizeAnchor>
  <cdr:relSizeAnchor xmlns:cdr="http://schemas.openxmlformats.org/drawingml/2006/chartDrawing">
    <cdr:from>
      <cdr:x>0.5158</cdr:x>
      <cdr:y>0.77869</cdr:y>
    </cdr:from>
    <cdr:to>
      <cdr:x>0.64341</cdr:x>
      <cdr:y>0.83811</cdr:y>
    </cdr:to>
    <cdr:sp macro="" textlink="uebb038_Landkarte_Bundeslae!$W$11">
      <cdr:nvSpPr>
        <cdr:cNvPr id="7" name="Textfeld 6"/>
        <cdr:cNvSpPr txBox="1"/>
      </cdr:nvSpPr>
      <cdr:spPr>
        <a:xfrm xmlns:a="http://schemas.openxmlformats.org/drawingml/2006/main">
          <a:off x="4119564" y="3619500"/>
          <a:ext cx="10191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A27594E-656F-465F-BFA2-2CFD1B91009E}" type="TxLink">
            <a:rPr lang="en-US" sz="1200" b="0" i="0" u="none" strike="noStrike">
              <a:solidFill>
                <a:sysClr val="windowText" lastClr="000000"/>
              </a:solidFill>
              <a:latin typeface="+mn-lt"/>
              <a:cs typeface="Arial"/>
            </a:rPr>
            <a:pPr/>
            <a:t> € 46,48 </a:t>
          </a:fld>
          <a:endParaRPr lang="de-AT" sz="1200">
            <a:solidFill>
              <a:sysClr val="windowText" lastClr="000000"/>
            </a:solidFill>
            <a:latin typeface="+mn-lt"/>
          </a:endParaRPr>
        </a:p>
      </cdr:txBody>
    </cdr:sp>
  </cdr:relSizeAnchor>
  <cdr:relSizeAnchor xmlns:cdr="http://schemas.openxmlformats.org/drawingml/2006/chartDrawing">
    <cdr:from>
      <cdr:x>0.41443</cdr:x>
      <cdr:y>0.6127</cdr:y>
    </cdr:from>
    <cdr:to>
      <cdr:x>0.51699</cdr:x>
      <cdr:y>0.67213</cdr:y>
    </cdr:to>
    <cdr:sp macro="" textlink="uebb038_Landkarte_Bundeslae!$W$7">
      <cdr:nvSpPr>
        <cdr:cNvPr id="8" name="Textfeld 7"/>
        <cdr:cNvSpPr txBox="1"/>
      </cdr:nvSpPr>
      <cdr:spPr>
        <a:xfrm xmlns:a="http://schemas.openxmlformats.org/drawingml/2006/main">
          <a:off x="3309939" y="2847975"/>
          <a:ext cx="8191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9DAC02B-4047-4E42-AF79-B5532D1A84F6}" type="TxLink">
            <a:rPr lang="en-US" sz="1200" b="0" i="0" u="none" strike="noStrike">
              <a:solidFill>
                <a:sysClr val="windowText" lastClr="000000"/>
              </a:solidFill>
              <a:latin typeface="+mn-lt"/>
              <a:cs typeface="Arial"/>
            </a:rPr>
            <a:pPr/>
            <a:t> € 31,21 </a:t>
          </a:fld>
          <a:endParaRPr lang="de-AT" sz="1200">
            <a:solidFill>
              <a:sysClr val="windowText" lastClr="000000"/>
            </a:solidFill>
            <a:latin typeface="+mn-lt"/>
          </a:endParaRPr>
        </a:p>
      </cdr:txBody>
    </cdr:sp>
  </cdr:relSizeAnchor>
  <cdr:relSizeAnchor xmlns:cdr="http://schemas.openxmlformats.org/drawingml/2006/chartDrawing">
    <cdr:from>
      <cdr:x>0.21646</cdr:x>
      <cdr:y>0.65164</cdr:y>
    </cdr:from>
    <cdr:to>
      <cdr:x>0.34049</cdr:x>
      <cdr:y>0.72131</cdr:y>
    </cdr:to>
    <cdr:sp macro="" textlink="uebb038_Landkarte_Bundeslae!$W$6">
      <cdr:nvSpPr>
        <cdr:cNvPr id="9" name="Textfeld 8"/>
        <cdr:cNvSpPr txBox="1"/>
      </cdr:nvSpPr>
      <cdr:spPr>
        <a:xfrm xmlns:a="http://schemas.openxmlformats.org/drawingml/2006/main">
          <a:off x="1728789" y="3028950"/>
          <a:ext cx="9906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C29FE71-089B-457B-8A32-963F4BCB3316}" type="TxLink">
            <a:rPr lang="en-US" sz="1200" b="0" i="0" u="none" strike="noStrike">
              <a:solidFill>
                <a:sysClr val="windowText" lastClr="000000"/>
              </a:solidFill>
              <a:latin typeface="+mn-lt"/>
              <a:cs typeface="Arial"/>
            </a:rPr>
            <a:pPr/>
            <a:t> € 89,16 </a:t>
          </a:fld>
          <a:endParaRPr lang="de-AT" sz="1200">
            <a:solidFill>
              <a:sysClr val="windowText" lastClr="000000"/>
            </a:solidFill>
            <a:latin typeface="+mn-lt"/>
          </a:endParaRPr>
        </a:p>
      </cdr:txBody>
    </cdr:sp>
  </cdr:relSizeAnchor>
  <cdr:relSizeAnchor xmlns:cdr="http://schemas.openxmlformats.org/drawingml/2006/chartDrawing">
    <cdr:from>
      <cdr:x>0.06023</cdr:x>
      <cdr:y>0.64959</cdr:y>
    </cdr:from>
    <cdr:to>
      <cdr:x>0.16398</cdr:x>
      <cdr:y>0.71721</cdr:y>
    </cdr:to>
    <cdr:sp macro="" textlink="uebb038_Landkarte_Bundeslae!$W$5">
      <cdr:nvSpPr>
        <cdr:cNvPr id="10" name="Textfeld 9"/>
        <cdr:cNvSpPr txBox="1"/>
      </cdr:nvSpPr>
      <cdr:spPr>
        <a:xfrm xmlns:a="http://schemas.openxmlformats.org/drawingml/2006/main">
          <a:off x="481014" y="3019425"/>
          <a:ext cx="8286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F2FB0D97-3A3F-4701-BFD7-F132E3F7CA5B}" type="TxLink">
            <a:rPr lang="en-US" sz="1200" b="0" i="0" u="none" strike="noStrike">
              <a:solidFill>
                <a:sysClr val="windowText" lastClr="000000"/>
              </a:solidFill>
              <a:latin typeface="+mn-lt"/>
              <a:cs typeface="Arial"/>
            </a:rPr>
            <a:pPr/>
            <a:t> € 2,42 </a:t>
          </a:fld>
          <a:endParaRPr lang="de-AT" sz="1200">
            <a:solidFill>
              <a:sysClr val="windowText" lastClr="000000"/>
            </a:solidFill>
            <a:latin typeface="+mn-lt"/>
          </a:endParaRPr>
        </a:p>
      </cdr:txBody>
    </cdr:sp>
  </cdr:relSizeAnchor>
  <cdr:relSizeAnchor xmlns:cdr="http://schemas.openxmlformats.org/drawingml/2006/chartDrawing">
    <cdr:from>
      <cdr:x>0.84496</cdr:x>
      <cdr:y>0.10861</cdr:y>
    </cdr:from>
    <cdr:to>
      <cdr:x>0.98807</cdr:x>
      <cdr:y>0.15574</cdr:y>
    </cdr:to>
    <cdr:sp macro="" textlink="uebb038_Landkarte_Bundeslae!$W$10">
      <cdr:nvSpPr>
        <cdr:cNvPr id="11" name="Textfeld 10"/>
        <cdr:cNvSpPr txBox="1"/>
      </cdr:nvSpPr>
      <cdr:spPr>
        <a:xfrm xmlns:a="http://schemas.openxmlformats.org/drawingml/2006/main">
          <a:off x="6748464" y="504825"/>
          <a:ext cx="11430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BC6517B-7D31-4E47-8B12-0553E3506E3A}" type="TxLink">
            <a:rPr lang="en-US" sz="1200" b="0" i="0" u="none" strike="noStrike">
              <a:solidFill>
                <a:srgbClr val="000000"/>
              </a:solidFill>
              <a:latin typeface="Calibri"/>
              <a:cs typeface="Calibri"/>
            </a:rPr>
            <a:pPr/>
            <a:t> € 1.002,13 </a:t>
          </a:fld>
          <a:endParaRPr lang="de-AT" sz="1200">
            <a:solidFill>
              <a:sysClr val="windowText" lastClr="000000"/>
            </a:solidFill>
            <a:latin typeface="+mn-lt"/>
          </a:endParaRPr>
        </a:p>
      </cdr:txBody>
    </cdr:sp>
  </cdr:relSizeAnchor>
  <cdr:relSizeAnchor xmlns:cdr="http://schemas.openxmlformats.org/drawingml/2006/chartDrawing">
    <cdr:from>
      <cdr:x>0.81276</cdr:x>
      <cdr:y>0.17008</cdr:y>
    </cdr:from>
    <cdr:to>
      <cdr:x>0.87835</cdr:x>
      <cdr:y>0.34426</cdr:y>
    </cdr:to>
    <cdr:cxnSp macro="">
      <cdr:nvCxnSpPr>
        <cdr:cNvPr id="13" name="Gerade Verbindung 12">
          <a:extLst xmlns:a="http://schemas.openxmlformats.org/drawingml/2006/main">
            <a:ext uri="{FF2B5EF4-FFF2-40B4-BE49-F238E27FC236}">
              <a16:creationId xmlns:a16="http://schemas.microsoft.com/office/drawing/2014/main" id="{808EC3DC-BC84-46AB-01B7-61AE101C66D0}"/>
            </a:ext>
          </a:extLst>
        </cdr:cNvPr>
        <cdr:cNvCxnSpPr/>
      </cdr:nvCxnSpPr>
      <cdr:spPr>
        <a:xfrm xmlns:a="http://schemas.openxmlformats.org/drawingml/2006/main" flipV="1">
          <a:off x="6491289" y="790575"/>
          <a:ext cx="523875" cy="80962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0.76612</cdr:x>
      <cdr:y>0.80328</cdr:y>
    </cdr:from>
    <cdr:to>
      <cdr:x>0.97034</cdr:x>
      <cdr:y>0.93852</cdr:y>
    </cdr:to>
    <cdr:sp macro="" textlink="">
      <cdr:nvSpPr>
        <cdr:cNvPr id="12" name="Textfeld 11"/>
        <cdr:cNvSpPr txBox="1"/>
      </cdr:nvSpPr>
      <cdr:spPr>
        <a:xfrm xmlns:a="http://schemas.openxmlformats.org/drawingml/2006/main">
          <a:off x="6396039" y="3733800"/>
          <a:ext cx="1704975" cy="628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effectLst/>
              <a:latin typeface="+mn-lt"/>
              <a:ea typeface="+mn-ea"/>
              <a:cs typeface="+mn-cs"/>
            </a:rPr>
            <a:t>Beteiligungen und Förderung in Mio. €</a:t>
          </a:r>
          <a:endParaRPr lang="de-AT">
            <a:effectLst/>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57150</xdr:colOff>
      <xdr:row>5</xdr:row>
      <xdr:rowOff>114300</xdr:rowOff>
    </xdr:from>
    <xdr:to>
      <xdr:col>10</xdr:col>
      <xdr:colOff>114300</xdr:colOff>
      <xdr:row>31</xdr:row>
      <xdr:rowOff>66675</xdr:rowOff>
    </xdr:to>
    <xdr:graphicFrame macro="">
      <xdr:nvGraphicFramePr>
        <xdr:cNvPr id="2" name="Diagramm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33</xdr:row>
      <xdr:rowOff>114300</xdr:rowOff>
    </xdr:from>
    <xdr:to>
      <xdr:col>10</xdr:col>
      <xdr:colOff>38099</xdr:colOff>
      <xdr:row>46</xdr:row>
      <xdr:rowOff>104775</xdr:rowOff>
    </xdr:to>
    <xdr:graphicFrame macro="">
      <xdr:nvGraphicFramePr>
        <xdr:cNvPr id="5" name="Diagramm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AT!$C$56">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Österreich: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114301</xdr:rowOff>
    </xdr:from>
    <xdr:to>
      <xdr:col>10</xdr:col>
      <xdr:colOff>38099</xdr:colOff>
      <xdr:row>48</xdr:row>
      <xdr:rowOff>152401</xdr:rowOff>
    </xdr:to>
    <xdr:graphicFrame macro="">
      <xdr:nvGraphicFramePr>
        <xdr:cNvPr id="3" name="Diagramm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3448050</xdr:colOff>
      <xdr:row>26</xdr:row>
      <xdr:rowOff>180975</xdr:rowOff>
    </xdr:from>
    <xdr:to>
      <xdr:col>1</xdr:col>
      <xdr:colOff>3844050</xdr:colOff>
      <xdr:row>27</xdr:row>
      <xdr:rowOff>170475</xdr:rowOff>
    </xdr:to>
    <xdr:sp macro="" textlink="$J$29">
      <xdr:nvSpPr>
        <xdr:cNvPr id="23" name="Textfeld 22">
          <a:extLst>
            <a:ext uri="{FF2B5EF4-FFF2-40B4-BE49-F238E27FC236}">
              <a16:creationId xmlns:a16="http://schemas.microsoft.com/office/drawing/2014/main" id="{00000000-0008-0000-0100-000017000000}"/>
            </a:ext>
          </a:extLst>
        </xdr:cNvPr>
        <xdr:cNvSpPr txBox="1"/>
      </xdr:nvSpPr>
      <xdr:spPr>
        <a:xfrm>
          <a:off x="3724275" y="7896225"/>
          <a:ext cx="396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52000" rIns="0" rtlCol="0" anchor="b"/>
        <a:lstStyle/>
        <a:p>
          <a:pPr algn="l"/>
          <a:fld id="{4EB37C7B-B256-4AF0-94BC-5623DBC40C14}" type="TxLink">
            <a:rPr lang="en-US" sz="1100" b="0" i="0" u="none" strike="noStrike">
              <a:solidFill>
                <a:schemeClr val="bg1"/>
              </a:solidFill>
              <a:latin typeface="Calibri"/>
              <a:cs typeface="Calibri"/>
            </a:rPr>
            <a:pPr algn="l"/>
            <a:t> </a:t>
          </a:fld>
          <a:endParaRPr lang="de-AT" sz="1600">
            <a:solidFill>
              <a:schemeClr val="bg1"/>
            </a:solidFill>
          </a:endParaRP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Bgl!$C$58">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Burgenland: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114300</xdr:rowOff>
    </xdr:from>
    <xdr:to>
      <xdr:col>10</xdr:col>
      <xdr:colOff>38099</xdr:colOff>
      <xdr:row>48</xdr:row>
      <xdr:rowOff>142875</xdr:rowOff>
    </xdr:to>
    <xdr:graphicFrame macro="">
      <xdr:nvGraphicFramePr>
        <xdr:cNvPr id="3" name="Diagramm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Ktn!$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Kärnten: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114300</xdr:rowOff>
    </xdr:from>
    <xdr:to>
      <xdr:col>10</xdr:col>
      <xdr:colOff>38099</xdr:colOff>
      <xdr:row>49</xdr:row>
      <xdr:rowOff>19050</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Noe!$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Niederösterreich: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114300</xdr:rowOff>
    </xdr:from>
    <xdr:to>
      <xdr:col>10</xdr:col>
      <xdr:colOff>38099</xdr:colOff>
      <xdr:row>50</xdr:row>
      <xdr:rowOff>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Ooe!$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Oberösterreich: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114301</xdr:rowOff>
    </xdr:from>
    <xdr:to>
      <xdr:col>10</xdr:col>
      <xdr:colOff>38099</xdr:colOff>
      <xdr:row>49</xdr:row>
      <xdr:rowOff>28576</xdr:rowOff>
    </xdr:to>
    <xdr:graphicFrame macro="">
      <xdr:nvGraphicFramePr>
        <xdr:cNvPr id="3" name="Diagramm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Sbg!$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Salzburg: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114301</xdr:rowOff>
    </xdr:from>
    <xdr:to>
      <xdr:col>10</xdr:col>
      <xdr:colOff>38099</xdr:colOff>
      <xdr:row>49</xdr:row>
      <xdr:rowOff>47626</xdr:rowOff>
    </xdr:to>
    <xdr:graphicFrame macro="">
      <xdr:nvGraphicFramePr>
        <xdr:cNvPr id="3" name="Diagramm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1714500</xdr:colOff>
      <xdr:row>22</xdr:row>
      <xdr:rowOff>0</xdr:rowOff>
    </xdr:from>
    <xdr:to>
      <xdr:col>1</xdr:col>
      <xdr:colOff>3767388</xdr:colOff>
      <xdr:row>22</xdr:row>
      <xdr:rowOff>57150</xdr:rowOff>
    </xdr:to>
    <xdr:sp macro="" textlink="">
      <xdr:nvSpPr>
        <xdr:cNvPr id="42" name="Textfeld 41">
          <a:extLst>
            <a:ext uri="{FF2B5EF4-FFF2-40B4-BE49-F238E27FC236}">
              <a16:creationId xmlns:a16="http://schemas.microsoft.com/office/drawing/2014/main" id="{00000000-0008-0000-0200-00002A000000}"/>
            </a:ext>
          </a:extLst>
        </xdr:cNvPr>
        <xdr:cNvSpPr txBox="1"/>
      </xdr:nvSpPr>
      <xdr:spPr>
        <a:xfrm>
          <a:off x="1990725" y="6715125"/>
          <a:ext cx="2052888" cy="695325"/>
        </a:xfrm>
        <a:prstGeom prst="rect">
          <a:avLst/>
        </a:prstGeom>
        <a:solidFill>
          <a:schemeClr val="accent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AT" sz="1400">
            <a:solidFill>
              <a:schemeClr val="bg1"/>
            </a:solidFill>
          </a:endParaRPr>
        </a:p>
        <a:p>
          <a:r>
            <a:rPr lang="de-AT" sz="1100">
              <a:solidFill>
                <a:schemeClr val="bg1"/>
              </a:solidFill>
            </a:rPr>
            <a:t>bewilligte</a:t>
          </a:r>
          <a:r>
            <a:rPr lang="de-AT" sz="1100" baseline="0">
              <a:solidFill>
                <a:schemeClr val="bg1"/>
              </a:solidFill>
            </a:rPr>
            <a:t> Beteiligungen</a:t>
          </a:r>
        </a:p>
        <a:p>
          <a:r>
            <a:rPr lang="de-AT" sz="1100" baseline="0">
              <a:solidFill>
                <a:schemeClr val="bg1"/>
              </a:solidFill>
            </a:rPr>
            <a:t>          an allen Ländern</a:t>
          </a:r>
          <a:endParaRPr lang="de-AT" sz="1100">
            <a:solidFill>
              <a:schemeClr val="bg1"/>
            </a:solidFill>
          </a:endParaRPr>
        </a:p>
      </xdr:txBody>
    </xdr:sp>
    <xdr:clientData/>
  </xdr:twoCellAnchor>
  <xdr:twoCellAnchor>
    <xdr:from>
      <xdr:col>1</xdr:col>
      <xdr:colOff>3419474</xdr:colOff>
      <xdr:row>22</xdr:row>
      <xdr:rowOff>209550</xdr:rowOff>
    </xdr:from>
    <xdr:to>
      <xdr:col>1</xdr:col>
      <xdr:colOff>4210049</xdr:colOff>
      <xdr:row>24</xdr:row>
      <xdr:rowOff>57150</xdr:rowOff>
    </xdr:to>
    <xdr:sp macro="" textlink="$H$27">
      <xdr:nvSpPr>
        <xdr:cNvPr id="5" name="Textfeld 4">
          <a:extLst>
            <a:ext uri="{FF2B5EF4-FFF2-40B4-BE49-F238E27FC236}">
              <a16:creationId xmlns:a16="http://schemas.microsoft.com/office/drawing/2014/main" id="{00000000-0008-0000-0200-000005000000}"/>
            </a:ext>
          </a:extLst>
        </xdr:cNvPr>
        <xdr:cNvSpPr txBox="1"/>
      </xdr:nvSpPr>
      <xdr:spPr>
        <a:xfrm>
          <a:off x="3695699" y="7315200"/>
          <a:ext cx="790575" cy="276225"/>
        </a:xfrm>
        <a:prstGeom prst="rect">
          <a:avLst/>
        </a:prstGeom>
        <a:solidFill>
          <a:schemeClr val="accent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tlCol="0" anchor="b"/>
        <a:lstStyle/>
        <a:p>
          <a:pPr algn="l"/>
          <a:fld id="{4BB1210C-1790-4681-86D9-132CDEC28E6F}" type="TxLink">
            <a:rPr lang="en-US" sz="1400" b="0" i="0" u="none" strike="noStrike">
              <a:solidFill>
                <a:schemeClr val="bg1"/>
              </a:solidFill>
              <a:latin typeface="Calibri"/>
            </a:rPr>
            <a:pPr algn="l"/>
            <a:t> 774 </a:t>
          </a:fld>
          <a:endParaRPr lang="de-AT" sz="1800" b="0">
            <a:solidFill>
              <a:schemeClr val="bg1"/>
            </a:solidFill>
          </a:endParaRPr>
        </a:p>
      </xdr:txBody>
    </xdr:sp>
    <xdr:clientData/>
  </xdr:twoCellAnchor>
  <xdr:twoCellAnchor>
    <xdr:from>
      <xdr:col>1</xdr:col>
      <xdr:colOff>3448050</xdr:colOff>
      <xdr:row>24</xdr:row>
      <xdr:rowOff>180975</xdr:rowOff>
    </xdr:from>
    <xdr:to>
      <xdr:col>1</xdr:col>
      <xdr:colOff>3844050</xdr:colOff>
      <xdr:row>25</xdr:row>
      <xdr:rowOff>170475</xdr:rowOff>
    </xdr:to>
    <xdr:sp macro="" textlink="$J$27">
      <xdr:nvSpPr>
        <xdr:cNvPr id="7" name="Textfeld 6">
          <a:extLst>
            <a:ext uri="{FF2B5EF4-FFF2-40B4-BE49-F238E27FC236}">
              <a16:creationId xmlns:a16="http://schemas.microsoft.com/office/drawing/2014/main" id="{00000000-0008-0000-0200-000007000000}"/>
            </a:ext>
          </a:extLst>
        </xdr:cNvPr>
        <xdr:cNvSpPr txBox="1"/>
      </xdr:nvSpPr>
      <xdr:spPr>
        <a:xfrm>
          <a:off x="3724275" y="7896225"/>
          <a:ext cx="396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52000" rIns="0" rtlCol="0" anchor="b"/>
        <a:lstStyle/>
        <a:p>
          <a:pPr algn="l"/>
          <a:fld id="{4EB37C7B-B256-4AF0-94BC-5623DBC40C14}" type="TxLink">
            <a:rPr lang="en-US" sz="1100" b="0" i="0" u="none" strike="noStrike">
              <a:solidFill>
                <a:schemeClr val="bg1"/>
              </a:solidFill>
              <a:latin typeface="Calibri"/>
            </a:rPr>
            <a:pPr algn="l"/>
            <a:t>3,3%</a:t>
          </a:fld>
          <a:endParaRPr lang="de-AT" sz="1600">
            <a:solidFill>
              <a:schemeClr val="bg1"/>
            </a:solidFill>
          </a:endParaRPr>
        </a:p>
      </xdr:txBody>
    </xdr:sp>
    <xdr:clientData/>
  </xdr:twoCellAnchor>
  <xdr:twoCellAnchor>
    <xdr:from>
      <xdr:col>1</xdr:col>
      <xdr:colOff>3448050</xdr:colOff>
      <xdr:row>22</xdr:row>
      <xdr:rowOff>0</xdr:rowOff>
    </xdr:from>
    <xdr:to>
      <xdr:col>1</xdr:col>
      <xdr:colOff>3844050</xdr:colOff>
      <xdr:row>22</xdr:row>
      <xdr:rowOff>170475</xdr:rowOff>
    </xdr:to>
    <xdr:sp macro="" textlink="$J$27">
      <xdr:nvSpPr>
        <xdr:cNvPr id="24" name="Textfeld 23">
          <a:extLst>
            <a:ext uri="{FF2B5EF4-FFF2-40B4-BE49-F238E27FC236}">
              <a16:creationId xmlns:a16="http://schemas.microsoft.com/office/drawing/2014/main" id="{00000000-0008-0000-0200-000018000000}"/>
            </a:ext>
          </a:extLst>
        </xdr:cNvPr>
        <xdr:cNvSpPr txBox="1"/>
      </xdr:nvSpPr>
      <xdr:spPr>
        <a:xfrm>
          <a:off x="923925" y="7962900"/>
          <a:ext cx="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252000" rIns="0" rtlCol="0" anchor="b"/>
        <a:lstStyle/>
        <a:p>
          <a:pPr algn="l"/>
          <a:fld id="{4EB37C7B-B256-4AF0-94BC-5623DBC40C14}" type="TxLink">
            <a:rPr lang="en-US" sz="1100" b="0" i="0" u="none" strike="noStrike">
              <a:solidFill>
                <a:schemeClr val="bg1"/>
              </a:solidFill>
              <a:latin typeface="Calibri"/>
            </a:rPr>
            <a:pPr algn="l"/>
            <a:t>3,3%</a:t>
          </a:fld>
          <a:endParaRPr lang="de-AT" sz="1600">
            <a:solidFill>
              <a:schemeClr val="bg1"/>
            </a:solidFill>
          </a:endParaRPr>
        </a:p>
      </xdr:txBody>
    </xdr:sp>
    <xdr:clientData/>
  </xdr:twoCellAnchor>
  <xdr:twoCellAnchor>
    <xdr:from>
      <xdr:col>1</xdr:col>
      <xdr:colOff>15875</xdr:colOff>
      <xdr:row>15</xdr:row>
      <xdr:rowOff>66675</xdr:rowOff>
    </xdr:from>
    <xdr:to>
      <xdr:col>4</xdr:col>
      <xdr:colOff>628650</xdr:colOff>
      <xdr:row>18</xdr:row>
      <xdr:rowOff>228601</xdr:rowOff>
    </xdr:to>
    <xdr:graphicFrame macro="">
      <xdr:nvGraphicFramePr>
        <xdr:cNvPr id="6" name="Diagramm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25</xdr:row>
      <xdr:rowOff>123824</xdr:rowOff>
    </xdr:from>
    <xdr:to>
      <xdr:col>16</xdr:col>
      <xdr:colOff>525052</xdr:colOff>
      <xdr:row>28</xdr:row>
      <xdr:rowOff>38099</xdr:rowOff>
    </xdr:to>
    <xdr:sp macro="" textlink="">
      <xdr:nvSpPr>
        <xdr:cNvPr id="8" name="Freeform 39">
          <a:extLst>
            <a:ext uri="{FF2B5EF4-FFF2-40B4-BE49-F238E27FC236}">
              <a16:creationId xmlns:a16="http://schemas.microsoft.com/office/drawing/2014/main" id="{1F414634-04F5-BE41-AE81-99343323806F}"/>
            </a:ext>
            <a:ext uri="{C183D7F6-B498-43B3-948B-1728B52AA6E4}">
              <adec:decorative xmlns:adec="http://schemas.microsoft.com/office/drawing/2017/decorative" val="1"/>
            </a:ext>
          </a:extLst>
        </xdr:cNvPr>
        <xdr:cNvSpPr>
          <a:spLocks noChangeAspect="1" noEditPoints="1"/>
        </xdr:cNvSpPr>
      </xdr:nvSpPr>
      <xdr:spPr bwMode="auto">
        <a:xfrm>
          <a:off x="14697075" y="9877424"/>
          <a:ext cx="506002" cy="638175"/>
        </a:xfrm>
        <a:custGeom>
          <a:avLst/>
          <a:gdLst>
            <a:gd name="T0" fmla="*/ 143 w 160"/>
            <a:gd name="T1" fmla="*/ 202 h 202"/>
            <a:gd name="T2" fmla="*/ 3 w 160"/>
            <a:gd name="T3" fmla="*/ 195 h 202"/>
            <a:gd name="T4" fmla="*/ 43 w 160"/>
            <a:gd name="T5" fmla="*/ 105 h 202"/>
            <a:gd name="T6" fmla="*/ 50 w 160"/>
            <a:gd name="T7" fmla="*/ 39 h 202"/>
            <a:gd name="T8" fmla="*/ 42 w 160"/>
            <a:gd name="T9" fmla="*/ 34 h 202"/>
            <a:gd name="T10" fmla="*/ 61 w 160"/>
            <a:gd name="T11" fmla="*/ 29 h 202"/>
            <a:gd name="T12" fmla="*/ 52 w 160"/>
            <a:gd name="T13" fmla="*/ 110 h 202"/>
            <a:gd name="T14" fmla="*/ 12 w 160"/>
            <a:gd name="T15" fmla="*/ 189 h 202"/>
            <a:gd name="T16" fmla="*/ 143 w 160"/>
            <a:gd name="T17" fmla="*/ 191 h 202"/>
            <a:gd name="T18" fmla="*/ 147 w 160"/>
            <a:gd name="T19" fmla="*/ 183 h 202"/>
            <a:gd name="T20" fmla="*/ 99 w 160"/>
            <a:gd name="T21" fmla="*/ 75 h 202"/>
            <a:gd name="T22" fmla="*/ 113 w 160"/>
            <a:gd name="T23" fmla="*/ 29 h 202"/>
            <a:gd name="T24" fmla="*/ 113 w 160"/>
            <a:gd name="T25" fmla="*/ 39 h 202"/>
            <a:gd name="T26" fmla="*/ 109 w 160"/>
            <a:gd name="T27" fmla="*/ 75 h 202"/>
            <a:gd name="T28" fmla="*/ 157 w 160"/>
            <a:gd name="T29" fmla="*/ 178 h 202"/>
            <a:gd name="T30" fmla="*/ 85 w 160"/>
            <a:gd name="T31" fmla="*/ 107 h 202"/>
            <a:gd name="T32" fmla="*/ 85 w 160"/>
            <a:gd name="T33" fmla="*/ 125 h 202"/>
            <a:gd name="T34" fmla="*/ 85 w 160"/>
            <a:gd name="T35" fmla="*/ 107 h 202"/>
            <a:gd name="T36" fmla="*/ 79 w 160"/>
            <a:gd name="T37" fmla="*/ 116 h 202"/>
            <a:gd name="T38" fmla="*/ 90 w 160"/>
            <a:gd name="T39" fmla="*/ 116 h 202"/>
            <a:gd name="T40" fmla="*/ 68 w 160"/>
            <a:gd name="T41" fmla="*/ 125 h 202"/>
            <a:gd name="T42" fmla="*/ 92 w 160"/>
            <a:gd name="T43" fmla="*/ 131 h 202"/>
            <a:gd name="T44" fmla="*/ 107 w 160"/>
            <a:gd name="T45" fmla="*/ 131 h 202"/>
            <a:gd name="T46" fmla="*/ 140 w 160"/>
            <a:gd name="T47" fmla="*/ 184 h 202"/>
            <a:gd name="T48" fmla="*/ 48 w 160"/>
            <a:gd name="T49" fmla="*/ 131 h 202"/>
            <a:gd name="T50" fmla="*/ 68 w 160"/>
            <a:gd name="T51" fmla="*/ 125 h 202"/>
            <a:gd name="T52" fmla="*/ 104 w 160"/>
            <a:gd name="T53" fmla="*/ 135 h 202"/>
            <a:gd name="T54" fmla="*/ 99 w 160"/>
            <a:gd name="T55" fmla="*/ 131 h 202"/>
            <a:gd name="T56" fmla="*/ 95 w 160"/>
            <a:gd name="T57" fmla="*/ 135 h 202"/>
            <a:gd name="T58" fmla="*/ 99 w 160"/>
            <a:gd name="T59" fmla="*/ 141 h 202"/>
            <a:gd name="T60" fmla="*/ 63 w 160"/>
            <a:gd name="T61" fmla="*/ 131 h 202"/>
            <a:gd name="T62" fmla="*/ 62 w 160"/>
            <a:gd name="T63" fmla="*/ 133 h 202"/>
            <a:gd name="T64" fmla="*/ 68 w 160"/>
            <a:gd name="T65" fmla="*/ 142 h 202"/>
            <a:gd name="T66" fmla="*/ 74 w 160"/>
            <a:gd name="T67" fmla="*/ 133 h 202"/>
            <a:gd name="T68" fmla="*/ 73 w 160"/>
            <a:gd name="T69" fmla="*/ 131 h 202"/>
            <a:gd name="T70" fmla="*/ 63 w 160"/>
            <a:gd name="T71" fmla="*/ 131 h 202"/>
            <a:gd name="T72" fmla="*/ 80 w 160"/>
            <a:gd name="T73" fmla="*/ 91 h 202"/>
            <a:gd name="T74" fmla="*/ 97 w 160"/>
            <a:gd name="T75" fmla="*/ 91 h 202"/>
            <a:gd name="T76" fmla="*/ 94 w 160"/>
            <a:gd name="T77" fmla="*/ 91 h 202"/>
            <a:gd name="T78" fmla="*/ 84 w 160"/>
            <a:gd name="T79" fmla="*/ 91 h 202"/>
            <a:gd name="T80" fmla="*/ 94 w 160"/>
            <a:gd name="T81" fmla="*/ 91 h 202"/>
            <a:gd name="T82" fmla="*/ 89 w 160"/>
            <a:gd name="T83" fmla="*/ 7 h 202"/>
            <a:gd name="T84" fmla="*/ 89 w 160"/>
            <a:gd name="T85" fmla="*/ 24 h 202"/>
            <a:gd name="T86" fmla="*/ 84 w 160"/>
            <a:gd name="T87" fmla="*/ 16 h 202"/>
            <a:gd name="T88" fmla="*/ 94 w 160"/>
            <a:gd name="T89" fmla="*/ 16 h 202"/>
            <a:gd name="T90" fmla="*/ 84 w 160"/>
            <a:gd name="T91" fmla="*/ 16 h 202"/>
            <a:gd name="T92" fmla="*/ 78 w 160"/>
            <a:gd name="T93" fmla="*/ 103 h 202"/>
            <a:gd name="T94" fmla="*/ 64 w 160"/>
            <a:gd name="T95" fmla="*/ 103 h 202"/>
            <a:gd name="T96" fmla="*/ 71 w 160"/>
            <a:gd name="T97" fmla="*/ 100 h 202"/>
            <a:gd name="T98" fmla="*/ 71 w 160"/>
            <a:gd name="T99" fmla="*/ 106 h 202"/>
            <a:gd name="T100" fmla="*/ 71 w 160"/>
            <a:gd name="T101" fmla="*/ 100 h 202"/>
            <a:gd name="T102" fmla="*/ 70 w 160"/>
            <a:gd name="T103" fmla="*/ 0 h 202"/>
            <a:gd name="T104" fmla="*/ 70 w 160"/>
            <a:gd name="T105" fmla="*/ 14 h 202"/>
            <a:gd name="T106" fmla="*/ 67 w 160"/>
            <a:gd name="T107" fmla="*/ 7 h 202"/>
            <a:gd name="T108" fmla="*/ 73 w 160"/>
            <a:gd name="T109" fmla="*/ 7 h 202"/>
            <a:gd name="T110" fmla="*/ 67 w 160"/>
            <a:gd name="T111" fmla="*/ 7 h 202"/>
            <a:gd name="T112" fmla="*/ 81 w 160"/>
            <a:gd name="T113" fmla="*/ 42 h 202"/>
            <a:gd name="T114" fmla="*/ 81 w 160"/>
            <a:gd name="T115" fmla="*/ 29 h 202"/>
            <a:gd name="T116" fmla="*/ 84 w 160"/>
            <a:gd name="T117" fmla="*/ 35 h 202"/>
            <a:gd name="T118" fmla="*/ 77 w 160"/>
            <a:gd name="T119" fmla="*/ 35 h 202"/>
            <a:gd name="T120" fmla="*/ 84 w 160"/>
            <a:gd name="T121"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160" h="202">
              <a:moveTo>
                <a:pt x="157" y="195"/>
              </a:moveTo>
              <a:cubicBezTo>
                <a:pt x="154" y="199"/>
                <a:pt x="149" y="202"/>
                <a:pt x="143" y="202"/>
              </a:cubicBezTo>
              <a:cubicBezTo>
                <a:pt x="17" y="202"/>
                <a:pt x="17" y="202"/>
                <a:pt x="17" y="202"/>
              </a:cubicBezTo>
              <a:cubicBezTo>
                <a:pt x="11" y="202"/>
                <a:pt x="5" y="199"/>
                <a:pt x="3" y="195"/>
              </a:cubicBezTo>
              <a:cubicBezTo>
                <a:pt x="0" y="190"/>
                <a:pt x="0" y="184"/>
                <a:pt x="3" y="178"/>
              </a:cubicBezTo>
              <a:cubicBezTo>
                <a:pt x="43" y="105"/>
                <a:pt x="43" y="105"/>
                <a:pt x="43" y="105"/>
              </a:cubicBezTo>
              <a:cubicBezTo>
                <a:pt x="47" y="97"/>
                <a:pt x="50" y="83"/>
                <a:pt x="50" y="75"/>
              </a:cubicBezTo>
              <a:cubicBezTo>
                <a:pt x="50" y="39"/>
                <a:pt x="50" y="39"/>
                <a:pt x="50" y="39"/>
              </a:cubicBezTo>
              <a:cubicBezTo>
                <a:pt x="47" y="39"/>
                <a:pt x="47" y="39"/>
                <a:pt x="47" y="39"/>
              </a:cubicBezTo>
              <a:cubicBezTo>
                <a:pt x="44" y="39"/>
                <a:pt x="42" y="37"/>
                <a:pt x="42" y="34"/>
              </a:cubicBezTo>
              <a:cubicBezTo>
                <a:pt x="42" y="31"/>
                <a:pt x="44" y="29"/>
                <a:pt x="47" y="29"/>
              </a:cubicBezTo>
              <a:cubicBezTo>
                <a:pt x="61" y="29"/>
                <a:pt x="61" y="29"/>
                <a:pt x="61" y="29"/>
              </a:cubicBezTo>
              <a:cubicBezTo>
                <a:pt x="61" y="75"/>
                <a:pt x="61" y="75"/>
                <a:pt x="61" y="75"/>
              </a:cubicBezTo>
              <a:cubicBezTo>
                <a:pt x="61" y="85"/>
                <a:pt x="57" y="101"/>
                <a:pt x="52" y="110"/>
              </a:cubicBezTo>
              <a:cubicBezTo>
                <a:pt x="13" y="183"/>
                <a:pt x="13" y="183"/>
                <a:pt x="13" y="183"/>
              </a:cubicBezTo>
              <a:cubicBezTo>
                <a:pt x="11" y="186"/>
                <a:pt x="11" y="188"/>
                <a:pt x="12" y="189"/>
              </a:cubicBezTo>
              <a:cubicBezTo>
                <a:pt x="12" y="190"/>
                <a:pt x="14" y="191"/>
                <a:pt x="17" y="191"/>
              </a:cubicBezTo>
              <a:cubicBezTo>
                <a:pt x="143" y="191"/>
                <a:pt x="143" y="191"/>
                <a:pt x="143" y="191"/>
              </a:cubicBezTo>
              <a:cubicBezTo>
                <a:pt x="145" y="191"/>
                <a:pt x="147" y="190"/>
                <a:pt x="148" y="189"/>
              </a:cubicBezTo>
              <a:cubicBezTo>
                <a:pt x="149" y="188"/>
                <a:pt x="149" y="186"/>
                <a:pt x="147" y="183"/>
              </a:cubicBezTo>
              <a:cubicBezTo>
                <a:pt x="108" y="110"/>
                <a:pt x="108" y="110"/>
                <a:pt x="108" y="110"/>
              </a:cubicBezTo>
              <a:cubicBezTo>
                <a:pt x="103" y="101"/>
                <a:pt x="99" y="85"/>
                <a:pt x="99" y="75"/>
              </a:cubicBezTo>
              <a:cubicBezTo>
                <a:pt x="99" y="29"/>
                <a:pt x="99" y="29"/>
                <a:pt x="99" y="29"/>
              </a:cubicBezTo>
              <a:cubicBezTo>
                <a:pt x="113" y="29"/>
                <a:pt x="113" y="29"/>
                <a:pt x="113" y="29"/>
              </a:cubicBezTo>
              <a:cubicBezTo>
                <a:pt x="116" y="29"/>
                <a:pt x="118" y="31"/>
                <a:pt x="118" y="34"/>
              </a:cubicBezTo>
              <a:cubicBezTo>
                <a:pt x="118" y="37"/>
                <a:pt x="116" y="39"/>
                <a:pt x="113" y="39"/>
              </a:cubicBezTo>
              <a:cubicBezTo>
                <a:pt x="109" y="39"/>
                <a:pt x="109" y="39"/>
                <a:pt x="109" y="39"/>
              </a:cubicBezTo>
              <a:cubicBezTo>
                <a:pt x="109" y="75"/>
                <a:pt x="109" y="75"/>
                <a:pt x="109" y="75"/>
              </a:cubicBezTo>
              <a:cubicBezTo>
                <a:pt x="109" y="83"/>
                <a:pt x="113" y="97"/>
                <a:pt x="117" y="105"/>
              </a:cubicBezTo>
              <a:cubicBezTo>
                <a:pt x="157" y="178"/>
                <a:pt x="157" y="178"/>
                <a:pt x="157" y="178"/>
              </a:cubicBezTo>
              <a:cubicBezTo>
                <a:pt x="160" y="184"/>
                <a:pt x="160" y="190"/>
                <a:pt x="157" y="195"/>
              </a:cubicBezTo>
              <a:close/>
              <a:moveTo>
                <a:pt x="85" y="107"/>
              </a:moveTo>
              <a:cubicBezTo>
                <a:pt x="90" y="107"/>
                <a:pt x="94" y="111"/>
                <a:pt x="94" y="116"/>
              </a:cubicBezTo>
              <a:cubicBezTo>
                <a:pt x="94" y="121"/>
                <a:pt x="90" y="125"/>
                <a:pt x="85" y="125"/>
              </a:cubicBezTo>
              <a:cubicBezTo>
                <a:pt x="79" y="125"/>
                <a:pt x="75" y="121"/>
                <a:pt x="75" y="116"/>
              </a:cubicBezTo>
              <a:cubicBezTo>
                <a:pt x="75" y="111"/>
                <a:pt x="79" y="107"/>
                <a:pt x="85" y="107"/>
              </a:cubicBezTo>
              <a:close/>
              <a:moveTo>
                <a:pt x="85" y="110"/>
              </a:moveTo>
              <a:cubicBezTo>
                <a:pt x="81" y="110"/>
                <a:pt x="79" y="113"/>
                <a:pt x="79" y="116"/>
              </a:cubicBezTo>
              <a:cubicBezTo>
                <a:pt x="79" y="119"/>
                <a:pt x="81" y="122"/>
                <a:pt x="85" y="122"/>
              </a:cubicBezTo>
              <a:cubicBezTo>
                <a:pt x="88" y="122"/>
                <a:pt x="90" y="119"/>
                <a:pt x="90" y="116"/>
              </a:cubicBezTo>
              <a:cubicBezTo>
                <a:pt x="90" y="113"/>
                <a:pt x="88" y="110"/>
                <a:pt x="85" y="110"/>
              </a:cubicBezTo>
              <a:close/>
              <a:moveTo>
                <a:pt x="68" y="125"/>
              </a:moveTo>
              <a:cubicBezTo>
                <a:pt x="73" y="125"/>
                <a:pt x="76" y="127"/>
                <a:pt x="78" y="131"/>
              </a:cubicBezTo>
              <a:cubicBezTo>
                <a:pt x="92" y="131"/>
                <a:pt x="92" y="131"/>
                <a:pt x="92" y="131"/>
              </a:cubicBezTo>
              <a:cubicBezTo>
                <a:pt x="94" y="129"/>
                <a:pt x="97" y="127"/>
                <a:pt x="99" y="127"/>
              </a:cubicBezTo>
              <a:cubicBezTo>
                <a:pt x="102" y="127"/>
                <a:pt x="105" y="129"/>
                <a:pt x="107" y="131"/>
              </a:cubicBezTo>
              <a:cubicBezTo>
                <a:pt x="111" y="131"/>
                <a:pt x="111" y="131"/>
                <a:pt x="111" y="131"/>
              </a:cubicBezTo>
              <a:cubicBezTo>
                <a:pt x="140" y="184"/>
                <a:pt x="140" y="184"/>
                <a:pt x="140" y="184"/>
              </a:cubicBezTo>
              <a:cubicBezTo>
                <a:pt x="20" y="184"/>
                <a:pt x="20" y="184"/>
                <a:pt x="20" y="184"/>
              </a:cubicBezTo>
              <a:cubicBezTo>
                <a:pt x="48" y="131"/>
                <a:pt x="48" y="131"/>
                <a:pt x="48" y="131"/>
              </a:cubicBezTo>
              <a:cubicBezTo>
                <a:pt x="58" y="131"/>
                <a:pt x="58" y="131"/>
                <a:pt x="58" y="131"/>
              </a:cubicBezTo>
              <a:cubicBezTo>
                <a:pt x="60" y="127"/>
                <a:pt x="63" y="125"/>
                <a:pt x="68" y="125"/>
              </a:cubicBezTo>
              <a:close/>
              <a:moveTo>
                <a:pt x="104" y="136"/>
              </a:moveTo>
              <a:cubicBezTo>
                <a:pt x="104" y="136"/>
                <a:pt x="104" y="136"/>
                <a:pt x="104" y="135"/>
              </a:cubicBezTo>
              <a:cubicBezTo>
                <a:pt x="104" y="135"/>
                <a:pt x="104" y="135"/>
                <a:pt x="104" y="134"/>
              </a:cubicBezTo>
              <a:cubicBezTo>
                <a:pt x="103" y="133"/>
                <a:pt x="101" y="131"/>
                <a:pt x="99" y="131"/>
              </a:cubicBezTo>
              <a:cubicBezTo>
                <a:pt x="98" y="131"/>
                <a:pt x="96" y="133"/>
                <a:pt x="95" y="134"/>
              </a:cubicBezTo>
              <a:cubicBezTo>
                <a:pt x="95" y="135"/>
                <a:pt x="95" y="135"/>
                <a:pt x="95" y="135"/>
              </a:cubicBezTo>
              <a:cubicBezTo>
                <a:pt x="95" y="136"/>
                <a:pt x="95" y="136"/>
                <a:pt x="95" y="136"/>
              </a:cubicBezTo>
              <a:cubicBezTo>
                <a:pt x="95" y="139"/>
                <a:pt x="97" y="141"/>
                <a:pt x="99" y="141"/>
              </a:cubicBezTo>
              <a:cubicBezTo>
                <a:pt x="102" y="141"/>
                <a:pt x="104" y="139"/>
                <a:pt x="104" y="136"/>
              </a:cubicBezTo>
              <a:close/>
              <a:moveTo>
                <a:pt x="63" y="131"/>
              </a:moveTo>
              <a:cubicBezTo>
                <a:pt x="62" y="132"/>
                <a:pt x="62" y="132"/>
                <a:pt x="62" y="133"/>
              </a:cubicBezTo>
              <a:cubicBezTo>
                <a:pt x="62" y="133"/>
                <a:pt x="62" y="133"/>
                <a:pt x="62" y="133"/>
              </a:cubicBezTo>
              <a:cubicBezTo>
                <a:pt x="61" y="134"/>
                <a:pt x="61" y="135"/>
                <a:pt x="61" y="135"/>
              </a:cubicBezTo>
              <a:cubicBezTo>
                <a:pt x="61" y="139"/>
                <a:pt x="64" y="142"/>
                <a:pt x="68" y="142"/>
              </a:cubicBezTo>
              <a:cubicBezTo>
                <a:pt x="72" y="142"/>
                <a:pt x="75" y="139"/>
                <a:pt x="75" y="135"/>
              </a:cubicBezTo>
              <a:cubicBezTo>
                <a:pt x="75" y="135"/>
                <a:pt x="75" y="134"/>
                <a:pt x="74" y="133"/>
              </a:cubicBezTo>
              <a:cubicBezTo>
                <a:pt x="74" y="133"/>
                <a:pt x="74" y="133"/>
                <a:pt x="74" y="133"/>
              </a:cubicBezTo>
              <a:cubicBezTo>
                <a:pt x="74" y="132"/>
                <a:pt x="74" y="132"/>
                <a:pt x="73" y="131"/>
              </a:cubicBezTo>
              <a:cubicBezTo>
                <a:pt x="72" y="130"/>
                <a:pt x="70" y="129"/>
                <a:pt x="68" y="129"/>
              </a:cubicBezTo>
              <a:cubicBezTo>
                <a:pt x="66" y="129"/>
                <a:pt x="64" y="130"/>
                <a:pt x="63" y="131"/>
              </a:cubicBezTo>
              <a:close/>
              <a:moveTo>
                <a:pt x="89" y="99"/>
              </a:moveTo>
              <a:cubicBezTo>
                <a:pt x="84" y="99"/>
                <a:pt x="80" y="95"/>
                <a:pt x="80" y="91"/>
              </a:cubicBezTo>
              <a:cubicBezTo>
                <a:pt x="80" y="86"/>
                <a:pt x="84" y="82"/>
                <a:pt x="89" y="82"/>
              </a:cubicBezTo>
              <a:cubicBezTo>
                <a:pt x="94" y="82"/>
                <a:pt x="97" y="86"/>
                <a:pt x="97" y="91"/>
              </a:cubicBezTo>
              <a:cubicBezTo>
                <a:pt x="97" y="95"/>
                <a:pt x="94" y="99"/>
                <a:pt x="89" y="99"/>
              </a:cubicBezTo>
              <a:close/>
              <a:moveTo>
                <a:pt x="94" y="91"/>
              </a:moveTo>
              <a:cubicBezTo>
                <a:pt x="94" y="88"/>
                <a:pt x="92" y="86"/>
                <a:pt x="89" y="86"/>
              </a:cubicBezTo>
              <a:cubicBezTo>
                <a:pt x="86" y="86"/>
                <a:pt x="84" y="88"/>
                <a:pt x="84" y="91"/>
              </a:cubicBezTo>
              <a:cubicBezTo>
                <a:pt x="84" y="93"/>
                <a:pt x="86" y="96"/>
                <a:pt x="89" y="96"/>
              </a:cubicBezTo>
              <a:cubicBezTo>
                <a:pt x="92" y="96"/>
                <a:pt x="94" y="93"/>
                <a:pt x="94" y="91"/>
              </a:cubicBezTo>
              <a:close/>
              <a:moveTo>
                <a:pt x="80" y="16"/>
              </a:moveTo>
              <a:cubicBezTo>
                <a:pt x="80" y="11"/>
                <a:pt x="84" y="7"/>
                <a:pt x="89" y="7"/>
              </a:cubicBezTo>
              <a:cubicBezTo>
                <a:pt x="94" y="7"/>
                <a:pt x="97" y="11"/>
                <a:pt x="97" y="16"/>
              </a:cubicBezTo>
              <a:cubicBezTo>
                <a:pt x="97" y="21"/>
                <a:pt x="94" y="24"/>
                <a:pt x="89" y="24"/>
              </a:cubicBezTo>
              <a:cubicBezTo>
                <a:pt x="84" y="24"/>
                <a:pt x="80" y="21"/>
                <a:pt x="80" y="16"/>
              </a:cubicBezTo>
              <a:close/>
              <a:moveTo>
                <a:pt x="84" y="16"/>
              </a:moveTo>
              <a:cubicBezTo>
                <a:pt x="84" y="19"/>
                <a:pt x="86" y="21"/>
                <a:pt x="89" y="21"/>
              </a:cubicBezTo>
              <a:cubicBezTo>
                <a:pt x="92" y="21"/>
                <a:pt x="94" y="19"/>
                <a:pt x="94" y="16"/>
              </a:cubicBezTo>
              <a:cubicBezTo>
                <a:pt x="94" y="13"/>
                <a:pt x="92" y="11"/>
                <a:pt x="89" y="11"/>
              </a:cubicBezTo>
              <a:cubicBezTo>
                <a:pt x="86" y="11"/>
                <a:pt x="84" y="13"/>
                <a:pt x="84" y="16"/>
              </a:cubicBezTo>
              <a:close/>
              <a:moveTo>
                <a:pt x="71" y="96"/>
              </a:moveTo>
              <a:cubicBezTo>
                <a:pt x="75" y="96"/>
                <a:pt x="78" y="99"/>
                <a:pt x="78" y="103"/>
              </a:cubicBezTo>
              <a:cubicBezTo>
                <a:pt x="78" y="107"/>
                <a:pt x="75" y="110"/>
                <a:pt x="71" y="110"/>
              </a:cubicBezTo>
              <a:cubicBezTo>
                <a:pt x="67" y="110"/>
                <a:pt x="64" y="107"/>
                <a:pt x="64" y="103"/>
              </a:cubicBezTo>
              <a:cubicBezTo>
                <a:pt x="64" y="99"/>
                <a:pt x="67" y="96"/>
                <a:pt x="71" y="96"/>
              </a:cubicBezTo>
              <a:close/>
              <a:moveTo>
                <a:pt x="71" y="100"/>
              </a:moveTo>
              <a:cubicBezTo>
                <a:pt x="69" y="100"/>
                <a:pt x="68" y="101"/>
                <a:pt x="68" y="103"/>
              </a:cubicBezTo>
              <a:cubicBezTo>
                <a:pt x="68" y="105"/>
                <a:pt x="69" y="106"/>
                <a:pt x="71" y="106"/>
              </a:cubicBezTo>
              <a:cubicBezTo>
                <a:pt x="73" y="106"/>
                <a:pt x="74" y="105"/>
                <a:pt x="74" y="103"/>
              </a:cubicBezTo>
              <a:cubicBezTo>
                <a:pt x="74" y="101"/>
                <a:pt x="73" y="100"/>
                <a:pt x="71" y="100"/>
              </a:cubicBezTo>
              <a:close/>
              <a:moveTo>
                <a:pt x="63" y="7"/>
              </a:moveTo>
              <a:cubicBezTo>
                <a:pt x="63" y="4"/>
                <a:pt x="66" y="0"/>
                <a:pt x="70" y="0"/>
              </a:cubicBezTo>
              <a:cubicBezTo>
                <a:pt x="74" y="0"/>
                <a:pt x="77" y="4"/>
                <a:pt x="77" y="7"/>
              </a:cubicBezTo>
              <a:cubicBezTo>
                <a:pt x="77" y="11"/>
                <a:pt x="74" y="14"/>
                <a:pt x="70" y="14"/>
              </a:cubicBezTo>
              <a:cubicBezTo>
                <a:pt x="66" y="14"/>
                <a:pt x="63" y="11"/>
                <a:pt x="63" y="7"/>
              </a:cubicBezTo>
              <a:close/>
              <a:moveTo>
                <a:pt x="67" y="7"/>
              </a:moveTo>
              <a:cubicBezTo>
                <a:pt x="67" y="9"/>
                <a:pt x="68" y="11"/>
                <a:pt x="70" y="11"/>
              </a:cubicBezTo>
              <a:cubicBezTo>
                <a:pt x="72" y="11"/>
                <a:pt x="73" y="9"/>
                <a:pt x="73" y="7"/>
              </a:cubicBezTo>
              <a:cubicBezTo>
                <a:pt x="73" y="5"/>
                <a:pt x="72" y="4"/>
                <a:pt x="70" y="4"/>
              </a:cubicBezTo>
              <a:cubicBezTo>
                <a:pt x="68" y="4"/>
                <a:pt x="67" y="5"/>
                <a:pt x="67" y="7"/>
              </a:cubicBezTo>
              <a:close/>
              <a:moveTo>
                <a:pt x="87" y="35"/>
              </a:moveTo>
              <a:cubicBezTo>
                <a:pt x="87" y="39"/>
                <a:pt x="84" y="42"/>
                <a:pt x="81" y="42"/>
              </a:cubicBezTo>
              <a:cubicBezTo>
                <a:pt x="77" y="42"/>
                <a:pt x="74" y="39"/>
                <a:pt x="74" y="35"/>
              </a:cubicBezTo>
              <a:cubicBezTo>
                <a:pt x="74" y="32"/>
                <a:pt x="77" y="29"/>
                <a:pt x="81" y="29"/>
              </a:cubicBezTo>
              <a:cubicBezTo>
                <a:pt x="84" y="29"/>
                <a:pt x="87" y="32"/>
                <a:pt x="87" y="35"/>
              </a:cubicBezTo>
              <a:close/>
              <a:moveTo>
                <a:pt x="84" y="35"/>
              </a:moveTo>
              <a:cubicBezTo>
                <a:pt x="84" y="34"/>
                <a:pt x="82" y="32"/>
                <a:pt x="81" y="32"/>
              </a:cubicBezTo>
              <a:cubicBezTo>
                <a:pt x="79" y="32"/>
                <a:pt x="77" y="34"/>
                <a:pt x="77" y="35"/>
              </a:cubicBezTo>
              <a:cubicBezTo>
                <a:pt x="77" y="37"/>
                <a:pt x="79" y="39"/>
                <a:pt x="81" y="39"/>
              </a:cubicBezTo>
              <a:cubicBezTo>
                <a:pt x="82" y="39"/>
                <a:pt x="84" y="37"/>
                <a:pt x="84" y="35"/>
              </a:cubicBezTo>
              <a:close/>
            </a:path>
          </a:pathLst>
        </a:custGeom>
        <a:solidFill>
          <a:schemeClr val="accent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182880" tIns="91440" rIns="182880" bIns="91440" numCol="1" anchor="t" anchorCtr="0" compatLnSpc="1">
          <a:prstTxWarp prst="textNoShape">
            <a:avLst/>
          </a:prstTxWarp>
        </a:bodyP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AT" sz="7200"/>
        </a:p>
      </xdr:txBody>
    </xdr:sp>
    <xdr:clientData/>
  </xdr:twoCellAnchor>
  <xdr:twoCellAnchor>
    <xdr:from>
      <xdr:col>3</xdr:col>
      <xdr:colOff>1000125</xdr:colOff>
      <xdr:row>26</xdr:row>
      <xdr:rowOff>104775</xdr:rowOff>
    </xdr:from>
    <xdr:to>
      <xdr:col>4</xdr:col>
      <xdr:colOff>738505</xdr:colOff>
      <xdr:row>34</xdr:row>
      <xdr:rowOff>127635</xdr:rowOff>
    </xdr:to>
    <xdr:grpSp>
      <xdr:nvGrpSpPr>
        <xdr:cNvPr id="3" name="Gruppieren 2">
          <a:extLst>
            <a:ext uri="{FF2B5EF4-FFF2-40B4-BE49-F238E27FC236}">
              <a16:creationId xmlns:a16="http://schemas.microsoft.com/office/drawing/2014/main" id="{00000000-0008-0000-0200-000003000000}"/>
            </a:ext>
          </a:extLst>
        </xdr:cNvPr>
        <xdr:cNvGrpSpPr/>
      </xdr:nvGrpSpPr>
      <xdr:grpSpPr>
        <a:xfrm>
          <a:off x="4564547" y="9316446"/>
          <a:ext cx="1736081" cy="1715246"/>
          <a:chOff x="3810000" y="10134600"/>
          <a:chExt cx="1614805" cy="1775460"/>
        </a:xfrm>
      </xdr:grpSpPr>
      <xdr:sp macro="" textlink="">
        <xdr:nvSpPr>
          <xdr:cNvPr id="9" name="Textfeld 8">
            <a:extLst>
              <a:ext uri="{FF2B5EF4-FFF2-40B4-BE49-F238E27FC236}">
                <a16:creationId xmlns:a16="http://schemas.microsoft.com/office/drawing/2014/main" id="{00000000-0008-0000-0200-000009000000}"/>
              </a:ext>
            </a:extLst>
          </xdr:cNvPr>
          <xdr:cNvSpPr txBox="1"/>
        </xdr:nvSpPr>
        <xdr:spPr>
          <a:xfrm>
            <a:off x="3810000" y="11601450"/>
            <a:ext cx="1614805" cy="308610"/>
          </a:xfrm>
          <a:prstGeom prst="rect">
            <a:avLst/>
          </a:prstGeom>
          <a:noFill/>
        </xdr:spPr>
        <xdr:txBody>
          <a:bodyPr wrap="square" rtlCol="0">
            <a:spAutoFit/>
          </a:bodyPr>
          <a:lstStyle/>
          <a:p>
            <a:pPr algn="ctr">
              <a:spcAft>
                <a:spcPts val="0"/>
              </a:spcAft>
            </a:pPr>
            <a:r>
              <a:rPr lang="de-DE" sz="7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Bitte ändern Sie auf Ihrem Smartphone die Ansicht zu „Desktop Webseite“!</a:t>
            </a:r>
            <a:endParaRPr lang="de-AT" sz="1200">
              <a:effectLst/>
              <a:latin typeface="Times New Roman" panose="02020603050405020304" pitchFamily="18" charset="0"/>
              <a:ea typeface="Times New Roman" panose="02020603050405020304" pitchFamily="18" charset="0"/>
            </a:endParaRPr>
          </a:p>
        </xdr:txBody>
      </xdr:sp>
      <xdr:pic>
        <xdr:nvPicPr>
          <xdr:cNvPr id="10" name="Grafik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0" y="10382250"/>
            <a:ext cx="1198880" cy="1198880"/>
          </a:xfrm>
          <a:prstGeom prst="rect">
            <a:avLst/>
          </a:prstGeom>
        </xdr:spPr>
      </xdr:pic>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3971925" y="10134600"/>
            <a:ext cx="129894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AT" sz="1100">
                <a:solidFill>
                  <a:schemeClr val="tx1"/>
                </a:solidFill>
                <a:effectLst/>
                <a:latin typeface="+mn-lt"/>
                <a:ea typeface="+mn-ea"/>
                <a:cs typeface="+mn-cs"/>
              </a:rPr>
              <a:t>https://eupm.ffg.at</a:t>
            </a:r>
            <a:endParaRPr lang="de-AT" sz="1100"/>
          </a:p>
        </xdr:txBody>
      </xdr:sp>
    </xdr:grpSp>
    <xdr:clientData/>
  </xdr:twoCellAnchor>
  <xdr:twoCellAnchor>
    <xdr:from>
      <xdr:col>1</xdr:col>
      <xdr:colOff>171450</xdr:colOff>
      <xdr:row>19</xdr:row>
      <xdr:rowOff>53976</xdr:rowOff>
    </xdr:from>
    <xdr:to>
      <xdr:col>1</xdr:col>
      <xdr:colOff>717550</xdr:colOff>
      <xdr:row>21</xdr:row>
      <xdr:rowOff>208224</xdr:rowOff>
    </xdr:to>
    <xdr:sp macro="" textlink="">
      <xdr:nvSpPr>
        <xdr:cNvPr id="12" name="Freeform 17">
          <a:extLst>
            <a:ext uri="{FF2B5EF4-FFF2-40B4-BE49-F238E27FC236}">
              <a16:creationId xmlns:a16="http://schemas.microsoft.com/office/drawing/2014/main" id="{FA4BBDE6-D51C-554D-81DF-0B6F2AAEF0BA}"/>
            </a:ext>
            <a:ext uri="{C183D7F6-B498-43B3-948B-1728B52AA6E4}">
              <adec:decorative xmlns:adec="http://schemas.microsoft.com/office/drawing/2017/decorative" val="1"/>
            </a:ext>
          </a:extLst>
        </xdr:cNvPr>
        <xdr:cNvSpPr>
          <a:spLocks noChangeAspect="1" noEditPoints="1"/>
        </xdr:cNvSpPr>
      </xdr:nvSpPr>
      <xdr:spPr bwMode="auto">
        <a:xfrm>
          <a:off x="463550" y="7769226"/>
          <a:ext cx="546100" cy="573348"/>
        </a:xfrm>
        <a:custGeom>
          <a:avLst/>
          <a:gdLst>
            <a:gd name="T0" fmla="*/ 156 w 199"/>
            <a:gd name="T1" fmla="*/ 84 h 170"/>
            <a:gd name="T2" fmla="*/ 114 w 199"/>
            <a:gd name="T3" fmla="*/ 127 h 170"/>
            <a:gd name="T4" fmla="*/ 156 w 199"/>
            <a:gd name="T5" fmla="*/ 170 h 170"/>
            <a:gd name="T6" fmla="*/ 199 w 199"/>
            <a:gd name="T7" fmla="*/ 127 h 170"/>
            <a:gd name="T8" fmla="*/ 156 w 199"/>
            <a:gd name="T9" fmla="*/ 84 h 170"/>
            <a:gd name="T10" fmla="*/ 151 w 199"/>
            <a:gd name="T11" fmla="*/ 147 h 170"/>
            <a:gd name="T12" fmla="*/ 131 w 199"/>
            <a:gd name="T13" fmla="*/ 130 h 170"/>
            <a:gd name="T14" fmla="*/ 139 w 199"/>
            <a:gd name="T15" fmla="*/ 120 h 170"/>
            <a:gd name="T16" fmla="*/ 151 w 199"/>
            <a:gd name="T17" fmla="*/ 130 h 170"/>
            <a:gd name="T18" fmla="*/ 175 w 199"/>
            <a:gd name="T19" fmla="*/ 109 h 170"/>
            <a:gd name="T20" fmla="*/ 183 w 199"/>
            <a:gd name="T21" fmla="*/ 119 h 170"/>
            <a:gd name="T22" fmla="*/ 151 w 199"/>
            <a:gd name="T23" fmla="*/ 147 h 170"/>
            <a:gd name="T24" fmla="*/ 106 w 199"/>
            <a:gd name="T25" fmla="*/ 127 h 170"/>
            <a:gd name="T26" fmla="*/ 119 w 199"/>
            <a:gd name="T27" fmla="*/ 161 h 170"/>
            <a:gd name="T28" fmla="*/ 105 w 199"/>
            <a:gd name="T29" fmla="*/ 166 h 170"/>
            <a:gd name="T30" fmla="*/ 83 w 199"/>
            <a:gd name="T31" fmla="*/ 150 h 170"/>
            <a:gd name="T32" fmla="*/ 61 w 199"/>
            <a:gd name="T33" fmla="*/ 166 h 170"/>
            <a:gd name="T34" fmla="*/ 40 w 199"/>
            <a:gd name="T35" fmla="*/ 157 h 170"/>
            <a:gd name="T36" fmla="*/ 35 w 199"/>
            <a:gd name="T37" fmla="*/ 131 h 170"/>
            <a:gd name="T38" fmla="*/ 8 w 199"/>
            <a:gd name="T39" fmla="*/ 126 h 170"/>
            <a:gd name="T40" fmla="*/ 0 w 199"/>
            <a:gd name="T41" fmla="*/ 105 h 170"/>
            <a:gd name="T42" fmla="*/ 15 w 199"/>
            <a:gd name="T43" fmla="*/ 83 h 170"/>
            <a:gd name="T44" fmla="*/ 0 w 199"/>
            <a:gd name="T45" fmla="*/ 61 h 170"/>
            <a:gd name="T46" fmla="*/ 8 w 199"/>
            <a:gd name="T47" fmla="*/ 40 h 170"/>
            <a:gd name="T48" fmla="*/ 35 w 199"/>
            <a:gd name="T49" fmla="*/ 35 h 170"/>
            <a:gd name="T50" fmla="*/ 40 w 199"/>
            <a:gd name="T51" fmla="*/ 9 h 170"/>
            <a:gd name="T52" fmla="*/ 61 w 199"/>
            <a:gd name="T53" fmla="*/ 0 h 170"/>
            <a:gd name="T54" fmla="*/ 83 w 199"/>
            <a:gd name="T55" fmla="*/ 16 h 170"/>
            <a:gd name="T56" fmla="*/ 105 w 199"/>
            <a:gd name="T57" fmla="*/ 0 h 170"/>
            <a:gd name="T58" fmla="*/ 126 w 199"/>
            <a:gd name="T59" fmla="*/ 9 h 170"/>
            <a:gd name="T60" fmla="*/ 131 w 199"/>
            <a:gd name="T61" fmla="*/ 35 h 170"/>
            <a:gd name="T62" fmla="*/ 157 w 199"/>
            <a:gd name="T63" fmla="*/ 40 h 170"/>
            <a:gd name="T64" fmla="*/ 166 w 199"/>
            <a:gd name="T65" fmla="*/ 61 h 170"/>
            <a:gd name="T66" fmla="*/ 151 w 199"/>
            <a:gd name="T67" fmla="*/ 76 h 170"/>
            <a:gd name="T68" fmla="*/ 124 w 199"/>
            <a:gd name="T69" fmla="*/ 88 h 170"/>
            <a:gd name="T70" fmla="*/ 124 w 199"/>
            <a:gd name="T71" fmla="*/ 83 h 170"/>
            <a:gd name="T72" fmla="*/ 83 w 199"/>
            <a:gd name="T73" fmla="*/ 42 h 170"/>
            <a:gd name="T74" fmla="*/ 41 w 199"/>
            <a:gd name="T75" fmla="*/ 83 h 170"/>
            <a:gd name="T76" fmla="*/ 83 w 199"/>
            <a:gd name="T77" fmla="*/ 124 h 170"/>
            <a:gd name="T78" fmla="*/ 107 w 199"/>
            <a:gd name="T79" fmla="*/ 117 h 170"/>
            <a:gd name="T80" fmla="*/ 106 w 199"/>
            <a:gd name="T81" fmla="*/ 127 h 170"/>
            <a:gd name="T82" fmla="*/ 83 w 199"/>
            <a:gd name="T83" fmla="*/ 46 h 170"/>
            <a:gd name="T84" fmla="*/ 45 w 199"/>
            <a:gd name="T85" fmla="*/ 83 h 170"/>
            <a:gd name="T86" fmla="*/ 83 w 199"/>
            <a:gd name="T87" fmla="*/ 120 h 170"/>
            <a:gd name="T88" fmla="*/ 108 w 199"/>
            <a:gd name="T89" fmla="*/ 110 h 170"/>
            <a:gd name="T90" fmla="*/ 119 w 199"/>
            <a:gd name="T91" fmla="*/ 92 h 170"/>
            <a:gd name="T92" fmla="*/ 120 w 199"/>
            <a:gd name="T93" fmla="*/ 83 h 170"/>
            <a:gd name="T94" fmla="*/ 83 w 199"/>
            <a:gd name="T95" fmla="*/ 46 h 170"/>
            <a:gd name="T96" fmla="*/ 83 w 199"/>
            <a:gd name="T97" fmla="*/ 108 h 170"/>
            <a:gd name="T98" fmla="*/ 58 w 199"/>
            <a:gd name="T99" fmla="*/ 83 h 170"/>
            <a:gd name="T100" fmla="*/ 83 w 199"/>
            <a:gd name="T101" fmla="*/ 58 h 170"/>
            <a:gd name="T102" fmla="*/ 108 w 199"/>
            <a:gd name="T103" fmla="*/ 83 h 170"/>
            <a:gd name="T104" fmla="*/ 83 w 199"/>
            <a:gd name="T105" fmla="*/ 108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99" h="170">
              <a:moveTo>
                <a:pt x="156" y="84"/>
              </a:moveTo>
              <a:cubicBezTo>
                <a:pt x="133" y="84"/>
                <a:pt x="114" y="103"/>
                <a:pt x="114" y="127"/>
              </a:cubicBezTo>
              <a:cubicBezTo>
                <a:pt x="114" y="150"/>
                <a:pt x="133" y="170"/>
                <a:pt x="156" y="170"/>
              </a:cubicBezTo>
              <a:cubicBezTo>
                <a:pt x="180" y="170"/>
                <a:pt x="199" y="150"/>
                <a:pt x="199" y="127"/>
              </a:cubicBezTo>
              <a:cubicBezTo>
                <a:pt x="199" y="103"/>
                <a:pt x="180" y="84"/>
                <a:pt x="156" y="84"/>
              </a:cubicBezTo>
              <a:moveTo>
                <a:pt x="151" y="147"/>
              </a:moveTo>
              <a:cubicBezTo>
                <a:pt x="131" y="130"/>
                <a:pt x="131" y="130"/>
                <a:pt x="131" y="130"/>
              </a:cubicBezTo>
              <a:cubicBezTo>
                <a:pt x="139" y="120"/>
                <a:pt x="139" y="120"/>
                <a:pt x="139" y="120"/>
              </a:cubicBezTo>
              <a:cubicBezTo>
                <a:pt x="151" y="130"/>
                <a:pt x="151" y="130"/>
                <a:pt x="151" y="130"/>
              </a:cubicBezTo>
              <a:cubicBezTo>
                <a:pt x="175" y="109"/>
                <a:pt x="175" y="109"/>
                <a:pt x="175" y="109"/>
              </a:cubicBezTo>
              <a:cubicBezTo>
                <a:pt x="183" y="119"/>
                <a:pt x="183" y="119"/>
                <a:pt x="183" y="119"/>
              </a:cubicBezTo>
              <a:lnTo>
                <a:pt x="151" y="147"/>
              </a:lnTo>
              <a:close/>
              <a:moveTo>
                <a:pt x="106" y="127"/>
              </a:moveTo>
              <a:cubicBezTo>
                <a:pt x="106" y="140"/>
                <a:pt x="111" y="152"/>
                <a:pt x="119" y="161"/>
              </a:cubicBezTo>
              <a:cubicBezTo>
                <a:pt x="114" y="163"/>
                <a:pt x="110" y="165"/>
                <a:pt x="105" y="166"/>
              </a:cubicBezTo>
              <a:cubicBezTo>
                <a:pt x="102" y="157"/>
                <a:pt x="93" y="150"/>
                <a:pt x="83" y="150"/>
              </a:cubicBezTo>
              <a:cubicBezTo>
                <a:pt x="73" y="150"/>
                <a:pt x="64" y="157"/>
                <a:pt x="61" y="166"/>
              </a:cubicBezTo>
              <a:cubicBezTo>
                <a:pt x="53" y="164"/>
                <a:pt x="46" y="161"/>
                <a:pt x="40" y="157"/>
              </a:cubicBezTo>
              <a:cubicBezTo>
                <a:pt x="44" y="149"/>
                <a:pt x="42" y="138"/>
                <a:pt x="35" y="131"/>
              </a:cubicBezTo>
              <a:cubicBezTo>
                <a:pt x="28" y="124"/>
                <a:pt x="17" y="122"/>
                <a:pt x="8" y="126"/>
              </a:cubicBezTo>
              <a:cubicBezTo>
                <a:pt x="5" y="120"/>
                <a:pt x="2" y="113"/>
                <a:pt x="0" y="105"/>
              </a:cubicBezTo>
              <a:cubicBezTo>
                <a:pt x="9" y="102"/>
                <a:pt x="15" y="93"/>
                <a:pt x="15" y="83"/>
              </a:cubicBezTo>
              <a:cubicBezTo>
                <a:pt x="15" y="73"/>
                <a:pt x="9" y="64"/>
                <a:pt x="0" y="61"/>
              </a:cubicBezTo>
              <a:cubicBezTo>
                <a:pt x="2" y="54"/>
                <a:pt x="5" y="47"/>
                <a:pt x="8" y="40"/>
              </a:cubicBezTo>
              <a:cubicBezTo>
                <a:pt x="17" y="44"/>
                <a:pt x="28" y="43"/>
                <a:pt x="35" y="35"/>
              </a:cubicBezTo>
              <a:cubicBezTo>
                <a:pt x="42" y="28"/>
                <a:pt x="44" y="17"/>
                <a:pt x="40" y="9"/>
              </a:cubicBezTo>
              <a:cubicBezTo>
                <a:pt x="46" y="5"/>
                <a:pt x="53" y="2"/>
                <a:pt x="61" y="0"/>
              </a:cubicBezTo>
              <a:cubicBezTo>
                <a:pt x="64" y="9"/>
                <a:pt x="73" y="16"/>
                <a:pt x="83" y="16"/>
              </a:cubicBezTo>
              <a:cubicBezTo>
                <a:pt x="93" y="16"/>
                <a:pt x="102" y="9"/>
                <a:pt x="105" y="0"/>
              </a:cubicBezTo>
              <a:cubicBezTo>
                <a:pt x="112" y="2"/>
                <a:pt x="119" y="5"/>
                <a:pt x="126" y="9"/>
              </a:cubicBezTo>
              <a:cubicBezTo>
                <a:pt x="122" y="17"/>
                <a:pt x="123" y="28"/>
                <a:pt x="131" y="35"/>
              </a:cubicBezTo>
              <a:cubicBezTo>
                <a:pt x="138" y="43"/>
                <a:pt x="148" y="44"/>
                <a:pt x="157" y="40"/>
              </a:cubicBezTo>
              <a:cubicBezTo>
                <a:pt x="161" y="47"/>
                <a:pt x="164" y="54"/>
                <a:pt x="166" y="61"/>
              </a:cubicBezTo>
              <a:cubicBezTo>
                <a:pt x="159" y="63"/>
                <a:pt x="154" y="69"/>
                <a:pt x="151" y="76"/>
              </a:cubicBezTo>
              <a:cubicBezTo>
                <a:pt x="141" y="77"/>
                <a:pt x="132" y="81"/>
                <a:pt x="124" y="88"/>
              </a:cubicBezTo>
              <a:cubicBezTo>
                <a:pt x="124" y="86"/>
                <a:pt x="124" y="85"/>
                <a:pt x="124" y="83"/>
              </a:cubicBezTo>
              <a:cubicBezTo>
                <a:pt x="124" y="60"/>
                <a:pt x="106" y="42"/>
                <a:pt x="83" y="42"/>
              </a:cubicBezTo>
              <a:cubicBezTo>
                <a:pt x="60" y="42"/>
                <a:pt x="41" y="60"/>
                <a:pt x="41" y="83"/>
              </a:cubicBezTo>
              <a:cubicBezTo>
                <a:pt x="41" y="106"/>
                <a:pt x="60" y="124"/>
                <a:pt x="83" y="124"/>
              </a:cubicBezTo>
              <a:cubicBezTo>
                <a:pt x="92" y="124"/>
                <a:pt x="100" y="122"/>
                <a:pt x="107" y="117"/>
              </a:cubicBezTo>
              <a:cubicBezTo>
                <a:pt x="106" y="120"/>
                <a:pt x="106" y="123"/>
                <a:pt x="106" y="127"/>
              </a:cubicBezTo>
              <a:moveTo>
                <a:pt x="83" y="46"/>
              </a:moveTo>
              <a:cubicBezTo>
                <a:pt x="62" y="46"/>
                <a:pt x="45" y="62"/>
                <a:pt x="45" y="83"/>
              </a:cubicBezTo>
              <a:cubicBezTo>
                <a:pt x="45" y="104"/>
                <a:pt x="62" y="120"/>
                <a:pt x="83" y="120"/>
              </a:cubicBezTo>
              <a:cubicBezTo>
                <a:pt x="93" y="120"/>
                <a:pt x="102" y="116"/>
                <a:pt x="108" y="110"/>
              </a:cubicBezTo>
              <a:cubicBezTo>
                <a:pt x="111" y="104"/>
                <a:pt x="114" y="98"/>
                <a:pt x="119" y="92"/>
              </a:cubicBezTo>
              <a:cubicBezTo>
                <a:pt x="120" y="89"/>
                <a:pt x="120" y="86"/>
                <a:pt x="120" y="83"/>
              </a:cubicBezTo>
              <a:cubicBezTo>
                <a:pt x="120" y="62"/>
                <a:pt x="104" y="46"/>
                <a:pt x="83" y="46"/>
              </a:cubicBezTo>
              <a:moveTo>
                <a:pt x="83" y="108"/>
              </a:moveTo>
              <a:cubicBezTo>
                <a:pt x="69" y="108"/>
                <a:pt x="58" y="97"/>
                <a:pt x="58" y="83"/>
              </a:cubicBezTo>
              <a:cubicBezTo>
                <a:pt x="58" y="69"/>
                <a:pt x="69" y="58"/>
                <a:pt x="83" y="58"/>
              </a:cubicBezTo>
              <a:cubicBezTo>
                <a:pt x="97" y="58"/>
                <a:pt x="108" y="69"/>
                <a:pt x="108" y="83"/>
              </a:cubicBezTo>
              <a:cubicBezTo>
                <a:pt x="108" y="97"/>
                <a:pt x="97" y="108"/>
                <a:pt x="83" y="108"/>
              </a:cubicBezTo>
            </a:path>
          </a:pathLst>
        </a:custGeom>
        <a:solidFill>
          <a:schemeClr val="accent1">
            <a:lumMod val="75000"/>
          </a:schemeClr>
        </a:solidFill>
        <a:ln>
          <a:solidFill>
            <a:schemeClr val="bg1"/>
          </a:solidFill>
        </a:ln>
      </xdr:spPr>
      <xdr:txBody>
        <a:bodyPr vert="horz" wrap="square" lIns="91440" tIns="45720" rIns="91440" bIns="45720" numCol="1" anchor="t" anchorCtr="0" compatLnSpc="1">
          <a:prstTxWarp prst="textNoShape">
            <a:avLst/>
          </a:prstTxWarp>
        </a:bodyP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AT"/>
        </a:p>
      </xdr:txBody>
    </xdr:sp>
    <xdr:clientData/>
  </xdr:twoCellAnchor>
  <xdr:twoCellAnchor>
    <xdr:from>
      <xdr:col>12</xdr:col>
      <xdr:colOff>0</xdr:colOff>
      <xdr:row>26</xdr:row>
      <xdr:rowOff>0</xdr:rowOff>
    </xdr:from>
    <xdr:to>
      <xdr:col>12</xdr:col>
      <xdr:colOff>752475</xdr:colOff>
      <xdr:row>29</xdr:row>
      <xdr:rowOff>20941</xdr:rowOff>
    </xdr:to>
    <xdr:sp macro="" textlink="">
      <xdr:nvSpPr>
        <xdr:cNvPr id="13" name="Freeform 84">
          <a:extLst>
            <a:ext uri="{FF2B5EF4-FFF2-40B4-BE49-F238E27FC236}">
              <a16:creationId xmlns:a16="http://schemas.microsoft.com/office/drawing/2014/main" id="{C7A066D9-2104-494E-9526-3B7B65336723}"/>
            </a:ext>
            <a:ext uri="{C183D7F6-B498-43B3-948B-1728B52AA6E4}">
              <adec:decorative xmlns:adec="http://schemas.microsoft.com/office/drawing/2017/decorative" val="1"/>
            </a:ext>
          </a:extLst>
        </xdr:cNvPr>
        <xdr:cNvSpPr>
          <a:spLocks noChangeAspect="1" noEditPoints="1"/>
        </xdr:cNvSpPr>
      </xdr:nvSpPr>
      <xdr:spPr bwMode="auto">
        <a:xfrm>
          <a:off x="11372850" y="10020300"/>
          <a:ext cx="752475" cy="716266"/>
        </a:xfrm>
        <a:custGeom>
          <a:avLst/>
          <a:gdLst>
            <a:gd name="T0" fmla="*/ 43 w 202"/>
            <a:gd name="T1" fmla="*/ 118 h 192"/>
            <a:gd name="T2" fmla="*/ 29 w 202"/>
            <a:gd name="T3" fmla="*/ 88 h 192"/>
            <a:gd name="T4" fmla="*/ 69 w 202"/>
            <a:gd name="T5" fmla="*/ 77 h 192"/>
            <a:gd name="T6" fmla="*/ 49 w 202"/>
            <a:gd name="T7" fmla="*/ 145 h 192"/>
            <a:gd name="T8" fmla="*/ 49 w 202"/>
            <a:gd name="T9" fmla="*/ 47 h 192"/>
            <a:gd name="T10" fmla="*/ 49 w 202"/>
            <a:gd name="T11" fmla="*/ 145 h 192"/>
            <a:gd name="T12" fmla="*/ 86 w 202"/>
            <a:gd name="T13" fmla="*/ 96 h 192"/>
            <a:gd name="T14" fmla="*/ 12 w 202"/>
            <a:gd name="T15" fmla="*/ 96 h 192"/>
            <a:gd name="T16" fmla="*/ 177 w 202"/>
            <a:gd name="T17" fmla="*/ 76 h 192"/>
            <a:gd name="T18" fmla="*/ 102 w 202"/>
            <a:gd name="T19" fmla="*/ 84 h 192"/>
            <a:gd name="T20" fmla="*/ 177 w 202"/>
            <a:gd name="T21" fmla="*/ 76 h 192"/>
            <a:gd name="T22" fmla="*/ 94 w 202"/>
            <a:gd name="T23" fmla="*/ 51 h 192"/>
            <a:gd name="T24" fmla="*/ 153 w 202"/>
            <a:gd name="T25" fmla="*/ 59 h 192"/>
            <a:gd name="T26" fmla="*/ 202 w 202"/>
            <a:gd name="T27" fmla="*/ 49 h 192"/>
            <a:gd name="T28" fmla="*/ 192 w 202"/>
            <a:gd name="T29" fmla="*/ 192 h 192"/>
            <a:gd name="T30" fmla="*/ 45 w 202"/>
            <a:gd name="T31" fmla="*/ 182 h 192"/>
            <a:gd name="T32" fmla="*/ 49 w 202"/>
            <a:gd name="T33" fmla="*/ 151 h 192"/>
            <a:gd name="T34" fmla="*/ 57 w 202"/>
            <a:gd name="T35" fmla="*/ 180 h 192"/>
            <a:gd name="T36" fmla="*/ 190 w 202"/>
            <a:gd name="T37" fmla="*/ 55 h 192"/>
            <a:gd name="T38" fmla="*/ 147 w 202"/>
            <a:gd name="T39" fmla="*/ 39 h 192"/>
            <a:gd name="T40" fmla="*/ 57 w 202"/>
            <a:gd name="T41" fmla="*/ 12 h 192"/>
            <a:gd name="T42" fmla="*/ 49 w 202"/>
            <a:gd name="T43" fmla="*/ 41 h 192"/>
            <a:gd name="T44" fmla="*/ 45 w 202"/>
            <a:gd name="T45" fmla="*/ 10 h 192"/>
            <a:gd name="T46" fmla="*/ 153 w 202"/>
            <a:gd name="T47" fmla="*/ 0 h 192"/>
            <a:gd name="T48" fmla="*/ 157 w 202"/>
            <a:gd name="T49" fmla="*/ 1 h 192"/>
            <a:gd name="T50" fmla="*/ 202 w 202"/>
            <a:gd name="T51" fmla="*/ 49 h 192"/>
            <a:gd name="T52" fmla="*/ 182 w 202"/>
            <a:gd name="T53" fmla="*/ 43 h 192"/>
            <a:gd name="T54" fmla="*/ 159 w 202"/>
            <a:gd name="T55" fmla="*/ 39 h 192"/>
            <a:gd name="T56" fmla="*/ 182 w 202"/>
            <a:gd name="T57" fmla="*/ 43 h 192"/>
            <a:gd name="T58" fmla="*/ 137 w 202"/>
            <a:gd name="T59" fmla="*/ 158 h 192"/>
            <a:gd name="T60" fmla="*/ 70 w 202"/>
            <a:gd name="T61" fmla="*/ 150 h 192"/>
            <a:gd name="T62" fmla="*/ 177 w 202"/>
            <a:gd name="T63" fmla="*/ 101 h 192"/>
            <a:gd name="T64" fmla="*/ 102 w 202"/>
            <a:gd name="T65" fmla="*/ 109 h 192"/>
            <a:gd name="T66" fmla="*/ 177 w 202"/>
            <a:gd name="T67" fmla="*/ 101 h 192"/>
            <a:gd name="T68" fmla="*/ 95 w 202"/>
            <a:gd name="T69" fmla="*/ 125 h 192"/>
            <a:gd name="T70" fmla="*/ 177 w 202"/>
            <a:gd name="T71" fmla="*/ 133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2" h="192">
              <a:moveTo>
                <a:pt x="78" y="87"/>
              </a:moveTo>
              <a:cubicBezTo>
                <a:pt x="43" y="118"/>
                <a:pt x="43" y="118"/>
                <a:pt x="43" y="118"/>
              </a:cubicBezTo>
              <a:cubicBezTo>
                <a:pt x="20" y="99"/>
                <a:pt x="20" y="99"/>
                <a:pt x="20" y="99"/>
              </a:cubicBezTo>
              <a:cubicBezTo>
                <a:pt x="29" y="88"/>
                <a:pt x="29" y="88"/>
                <a:pt x="29" y="88"/>
              </a:cubicBezTo>
              <a:cubicBezTo>
                <a:pt x="43" y="100"/>
                <a:pt x="43" y="100"/>
                <a:pt x="43" y="100"/>
              </a:cubicBezTo>
              <a:cubicBezTo>
                <a:pt x="69" y="77"/>
                <a:pt x="69" y="77"/>
                <a:pt x="69" y="77"/>
              </a:cubicBezTo>
              <a:lnTo>
                <a:pt x="78" y="87"/>
              </a:lnTo>
              <a:close/>
              <a:moveTo>
                <a:pt x="49" y="145"/>
              </a:moveTo>
              <a:cubicBezTo>
                <a:pt x="22" y="145"/>
                <a:pt x="0" y="123"/>
                <a:pt x="0" y="96"/>
              </a:cubicBezTo>
              <a:cubicBezTo>
                <a:pt x="0" y="69"/>
                <a:pt x="22" y="47"/>
                <a:pt x="49" y="47"/>
              </a:cubicBezTo>
              <a:cubicBezTo>
                <a:pt x="76" y="47"/>
                <a:pt x="98" y="69"/>
                <a:pt x="98" y="96"/>
              </a:cubicBezTo>
              <a:cubicBezTo>
                <a:pt x="98" y="123"/>
                <a:pt x="76" y="145"/>
                <a:pt x="49" y="145"/>
              </a:cubicBezTo>
              <a:moveTo>
                <a:pt x="49" y="133"/>
              </a:moveTo>
              <a:cubicBezTo>
                <a:pt x="69" y="133"/>
                <a:pt x="86" y="116"/>
                <a:pt x="86" y="96"/>
              </a:cubicBezTo>
              <a:cubicBezTo>
                <a:pt x="86" y="76"/>
                <a:pt x="69" y="59"/>
                <a:pt x="49" y="59"/>
              </a:cubicBezTo>
              <a:cubicBezTo>
                <a:pt x="29" y="59"/>
                <a:pt x="12" y="76"/>
                <a:pt x="12" y="96"/>
              </a:cubicBezTo>
              <a:cubicBezTo>
                <a:pt x="12" y="116"/>
                <a:pt x="29" y="133"/>
                <a:pt x="49" y="133"/>
              </a:cubicBezTo>
              <a:moveTo>
                <a:pt x="177" y="76"/>
              </a:moveTo>
              <a:cubicBezTo>
                <a:pt x="100" y="76"/>
                <a:pt x="100" y="76"/>
                <a:pt x="100" y="76"/>
              </a:cubicBezTo>
              <a:cubicBezTo>
                <a:pt x="101" y="79"/>
                <a:pt x="102" y="81"/>
                <a:pt x="102" y="84"/>
              </a:cubicBezTo>
              <a:cubicBezTo>
                <a:pt x="177" y="84"/>
                <a:pt x="177" y="84"/>
                <a:pt x="177" y="84"/>
              </a:cubicBezTo>
              <a:lnTo>
                <a:pt x="177" y="76"/>
              </a:lnTo>
              <a:close/>
              <a:moveTo>
                <a:pt x="144" y="51"/>
              </a:moveTo>
              <a:cubicBezTo>
                <a:pt x="94" y="51"/>
                <a:pt x="94" y="51"/>
                <a:pt x="94" y="51"/>
              </a:cubicBezTo>
              <a:cubicBezTo>
                <a:pt x="94" y="59"/>
                <a:pt x="94" y="59"/>
                <a:pt x="94" y="59"/>
              </a:cubicBezTo>
              <a:cubicBezTo>
                <a:pt x="153" y="59"/>
                <a:pt x="153" y="59"/>
                <a:pt x="153" y="59"/>
              </a:cubicBezTo>
              <a:cubicBezTo>
                <a:pt x="150" y="58"/>
                <a:pt x="147" y="55"/>
                <a:pt x="144" y="51"/>
              </a:cubicBezTo>
              <a:moveTo>
                <a:pt x="202" y="49"/>
              </a:moveTo>
              <a:cubicBezTo>
                <a:pt x="202" y="182"/>
                <a:pt x="202" y="182"/>
                <a:pt x="202" y="182"/>
              </a:cubicBezTo>
              <a:cubicBezTo>
                <a:pt x="202" y="188"/>
                <a:pt x="198" y="192"/>
                <a:pt x="192" y="192"/>
              </a:cubicBezTo>
              <a:cubicBezTo>
                <a:pt x="55" y="192"/>
                <a:pt x="55" y="192"/>
                <a:pt x="55" y="192"/>
              </a:cubicBezTo>
              <a:cubicBezTo>
                <a:pt x="49" y="192"/>
                <a:pt x="45" y="188"/>
                <a:pt x="45" y="182"/>
              </a:cubicBezTo>
              <a:cubicBezTo>
                <a:pt x="45" y="151"/>
                <a:pt x="45" y="151"/>
                <a:pt x="45" y="151"/>
              </a:cubicBezTo>
              <a:cubicBezTo>
                <a:pt x="46" y="151"/>
                <a:pt x="48" y="151"/>
                <a:pt x="49" y="151"/>
              </a:cubicBezTo>
              <a:cubicBezTo>
                <a:pt x="52" y="151"/>
                <a:pt x="54" y="150"/>
                <a:pt x="57" y="150"/>
              </a:cubicBezTo>
              <a:cubicBezTo>
                <a:pt x="57" y="180"/>
                <a:pt x="57" y="180"/>
                <a:pt x="57" y="180"/>
              </a:cubicBezTo>
              <a:cubicBezTo>
                <a:pt x="190" y="180"/>
                <a:pt x="190" y="180"/>
                <a:pt x="190" y="180"/>
              </a:cubicBezTo>
              <a:cubicBezTo>
                <a:pt x="190" y="55"/>
                <a:pt x="190" y="55"/>
                <a:pt x="190" y="55"/>
              </a:cubicBezTo>
              <a:cubicBezTo>
                <a:pt x="163" y="55"/>
                <a:pt x="163" y="55"/>
                <a:pt x="163" y="55"/>
              </a:cubicBezTo>
              <a:cubicBezTo>
                <a:pt x="154" y="55"/>
                <a:pt x="147" y="48"/>
                <a:pt x="147" y="39"/>
              </a:cubicBezTo>
              <a:cubicBezTo>
                <a:pt x="147" y="12"/>
                <a:pt x="147" y="12"/>
                <a:pt x="147" y="12"/>
              </a:cubicBezTo>
              <a:cubicBezTo>
                <a:pt x="57" y="12"/>
                <a:pt x="57" y="12"/>
                <a:pt x="57" y="12"/>
              </a:cubicBezTo>
              <a:cubicBezTo>
                <a:pt x="57" y="42"/>
                <a:pt x="57" y="42"/>
                <a:pt x="57" y="42"/>
              </a:cubicBezTo>
              <a:cubicBezTo>
                <a:pt x="54" y="42"/>
                <a:pt x="52" y="41"/>
                <a:pt x="49" y="41"/>
              </a:cubicBezTo>
              <a:cubicBezTo>
                <a:pt x="48" y="41"/>
                <a:pt x="46" y="41"/>
                <a:pt x="45" y="42"/>
              </a:cubicBezTo>
              <a:cubicBezTo>
                <a:pt x="45" y="10"/>
                <a:pt x="45" y="10"/>
                <a:pt x="45" y="10"/>
              </a:cubicBezTo>
              <a:cubicBezTo>
                <a:pt x="45" y="4"/>
                <a:pt x="49" y="0"/>
                <a:pt x="55" y="0"/>
              </a:cubicBezTo>
              <a:cubicBezTo>
                <a:pt x="153" y="0"/>
                <a:pt x="153" y="0"/>
                <a:pt x="153" y="0"/>
              </a:cubicBezTo>
              <a:cubicBezTo>
                <a:pt x="153" y="0"/>
                <a:pt x="153" y="0"/>
                <a:pt x="153" y="0"/>
              </a:cubicBezTo>
              <a:cubicBezTo>
                <a:pt x="155" y="0"/>
                <a:pt x="156" y="0"/>
                <a:pt x="157" y="1"/>
              </a:cubicBezTo>
              <a:cubicBezTo>
                <a:pt x="200" y="44"/>
                <a:pt x="200" y="44"/>
                <a:pt x="200" y="44"/>
              </a:cubicBezTo>
              <a:cubicBezTo>
                <a:pt x="202" y="46"/>
                <a:pt x="202" y="46"/>
                <a:pt x="202" y="49"/>
              </a:cubicBezTo>
              <a:cubicBezTo>
                <a:pt x="202" y="49"/>
                <a:pt x="202" y="49"/>
                <a:pt x="202" y="49"/>
              </a:cubicBezTo>
              <a:moveTo>
                <a:pt x="182" y="43"/>
              </a:moveTo>
              <a:cubicBezTo>
                <a:pt x="159" y="20"/>
                <a:pt x="159" y="20"/>
                <a:pt x="159" y="20"/>
              </a:cubicBezTo>
              <a:cubicBezTo>
                <a:pt x="159" y="39"/>
                <a:pt x="159" y="39"/>
                <a:pt x="159" y="39"/>
              </a:cubicBezTo>
              <a:cubicBezTo>
                <a:pt x="159" y="42"/>
                <a:pt x="161" y="43"/>
                <a:pt x="163" y="43"/>
              </a:cubicBezTo>
              <a:lnTo>
                <a:pt x="182" y="43"/>
              </a:lnTo>
              <a:close/>
              <a:moveTo>
                <a:pt x="70" y="158"/>
              </a:moveTo>
              <a:cubicBezTo>
                <a:pt x="137" y="158"/>
                <a:pt x="137" y="158"/>
                <a:pt x="137" y="158"/>
              </a:cubicBezTo>
              <a:cubicBezTo>
                <a:pt x="137" y="150"/>
                <a:pt x="137" y="150"/>
                <a:pt x="137" y="150"/>
              </a:cubicBezTo>
              <a:cubicBezTo>
                <a:pt x="70" y="150"/>
                <a:pt x="70" y="150"/>
                <a:pt x="70" y="150"/>
              </a:cubicBezTo>
              <a:lnTo>
                <a:pt x="70" y="158"/>
              </a:lnTo>
              <a:close/>
              <a:moveTo>
                <a:pt x="177" y="101"/>
              </a:moveTo>
              <a:cubicBezTo>
                <a:pt x="103" y="101"/>
                <a:pt x="103" y="101"/>
                <a:pt x="103" y="101"/>
              </a:cubicBezTo>
              <a:cubicBezTo>
                <a:pt x="103" y="103"/>
                <a:pt x="103" y="106"/>
                <a:pt x="102" y="109"/>
              </a:cubicBezTo>
              <a:cubicBezTo>
                <a:pt x="177" y="109"/>
                <a:pt x="177" y="109"/>
                <a:pt x="177" y="109"/>
              </a:cubicBezTo>
              <a:lnTo>
                <a:pt x="177" y="101"/>
              </a:lnTo>
              <a:close/>
              <a:moveTo>
                <a:pt x="177" y="125"/>
              </a:moveTo>
              <a:cubicBezTo>
                <a:pt x="95" y="125"/>
                <a:pt x="95" y="125"/>
                <a:pt x="95" y="125"/>
              </a:cubicBezTo>
              <a:cubicBezTo>
                <a:pt x="93" y="128"/>
                <a:pt x="91" y="131"/>
                <a:pt x="89" y="133"/>
              </a:cubicBezTo>
              <a:cubicBezTo>
                <a:pt x="177" y="133"/>
                <a:pt x="177" y="133"/>
                <a:pt x="177" y="133"/>
              </a:cubicBezTo>
              <a:lnTo>
                <a:pt x="177" y="125"/>
              </a:lnTo>
              <a:close/>
            </a:path>
          </a:pathLst>
        </a:custGeom>
        <a:solidFill>
          <a:schemeClr val="accent1"/>
        </a:solidFill>
        <a:ln>
          <a:noFill/>
        </a:ln>
      </xdr:spPr>
      <xdr:txBody>
        <a:bodyPr vert="horz" wrap="square" lIns="91440" tIns="45720" rIns="91440" bIns="45720" numCol="1" anchor="t" anchorCtr="0" compatLnSpc="1">
          <a:prstTxWarp prst="textNoShape">
            <a:avLst/>
          </a:prstTxWarp>
        </a:bodyP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AT"/>
        </a:p>
      </xdr:txBody>
    </xdr:sp>
    <xdr:clientData/>
  </xdr:twoCellAnchor>
  <xdr:twoCellAnchor>
    <xdr:from>
      <xdr:col>13</xdr:col>
      <xdr:colOff>276225</xdr:colOff>
      <xdr:row>28</xdr:row>
      <xdr:rowOff>142875</xdr:rowOff>
    </xdr:from>
    <xdr:to>
      <xdr:col>13</xdr:col>
      <xdr:colOff>708225</xdr:colOff>
      <xdr:row>31</xdr:row>
      <xdr:rowOff>189536</xdr:rowOff>
    </xdr:to>
    <xdr:sp macro="" textlink="">
      <xdr:nvSpPr>
        <xdr:cNvPr id="14" name="Freeform 24">
          <a:extLst>
            <a:ext uri="{FF2B5EF4-FFF2-40B4-BE49-F238E27FC236}">
              <a16:creationId xmlns:a16="http://schemas.microsoft.com/office/drawing/2014/main" id="{96C7BF21-7857-5441-B57F-88EDC5336147}"/>
            </a:ext>
            <a:ext uri="{C183D7F6-B498-43B3-948B-1728B52AA6E4}">
              <adec:decorative xmlns:adec="http://schemas.microsoft.com/office/drawing/2017/decorative" val="1"/>
            </a:ext>
          </a:extLst>
        </xdr:cNvPr>
        <xdr:cNvSpPr>
          <a:spLocks noChangeAspect="1" noEditPoints="1"/>
        </xdr:cNvSpPr>
      </xdr:nvSpPr>
      <xdr:spPr bwMode="auto">
        <a:xfrm>
          <a:off x="12658725" y="10620375"/>
          <a:ext cx="432000" cy="665786"/>
        </a:xfrm>
        <a:custGeom>
          <a:avLst/>
          <a:gdLst>
            <a:gd name="T0" fmla="*/ 108 w 108"/>
            <a:gd name="T1" fmla="*/ 53 h 166"/>
            <a:gd name="T2" fmla="*/ 94 w 108"/>
            <a:gd name="T3" fmla="*/ 90 h 166"/>
            <a:gd name="T4" fmla="*/ 77 w 108"/>
            <a:gd name="T5" fmla="*/ 123 h 166"/>
            <a:gd name="T6" fmla="*/ 32 w 108"/>
            <a:gd name="T7" fmla="*/ 123 h 166"/>
            <a:gd name="T8" fmla="*/ 15 w 108"/>
            <a:gd name="T9" fmla="*/ 90 h 166"/>
            <a:gd name="T10" fmla="*/ 0 w 108"/>
            <a:gd name="T11" fmla="*/ 53 h 166"/>
            <a:gd name="T12" fmla="*/ 54 w 108"/>
            <a:gd name="T13" fmla="*/ 0 h 166"/>
            <a:gd name="T14" fmla="*/ 54 w 108"/>
            <a:gd name="T15" fmla="*/ 0 h 166"/>
            <a:gd name="T16" fmla="*/ 54 w 108"/>
            <a:gd name="T17" fmla="*/ 0 h 166"/>
            <a:gd name="T18" fmla="*/ 108 w 108"/>
            <a:gd name="T19" fmla="*/ 53 h 166"/>
            <a:gd name="T20" fmla="*/ 75 w 108"/>
            <a:gd name="T21" fmla="*/ 127 h 166"/>
            <a:gd name="T22" fmla="*/ 34 w 108"/>
            <a:gd name="T23" fmla="*/ 127 h 166"/>
            <a:gd name="T24" fmla="*/ 30 w 108"/>
            <a:gd name="T25" fmla="*/ 131 h 166"/>
            <a:gd name="T26" fmla="*/ 30 w 108"/>
            <a:gd name="T27" fmla="*/ 132 h 166"/>
            <a:gd name="T28" fmla="*/ 34 w 108"/>
            <a:gd name="T29" fmla="*/ 136 h 166"/>
            <a:gd name="T30" fmla="*/ 75 w 108"/>
            <a:gd name="T31" fmla="*/ 136 h 166"/>
            <a:gd name="T32" fmla="*/ 79 w 108"/>
            <a:gd name="T33" fmla="*/ 132 h 166"/>
            <a:gd name="T34" fmla="*/ 79 w 108"/>
            <a:gd name="T35" fmla="*/ 131 h 166"/>
            <a:gd name="T36" fmla="*/ 75 w 108"/>
            <a:gd name="T37" fmla="*/ 127 h 166"/>
            <a:gd name="T38" fmla="*/ 75 w 108"/>
            <a:gd name="T39" fmla="*/ 139 h 166"/>
            <a:gd name="T40" fmla="*/ 34 w 108"/>
            <a:gd name="T41" fmla="*/ 139 h 166"/>
            <a:gd name="T42" fmla="*/ 30 w 108"/>
            <a:gd name="T43" fmla="*/ 143 h 166"/>
            <a:gd name="T44" fmla="*/ 30 w 108"/>
            <a:gd name="T45" fmla="*/ 143 h 166"/>
            <a:gd name="T46" fmla="*/ 34 w 108"/>
            <a:gd name="T47" fmla="*/ 147 h 166"/>
            <a:gd name="T48" fmla="*/ 75 w 108"/>
            <a:gd name="T49" fmla="*/ 147 h 166"/>
            <a:gd name="T50" fmla="*/ 79 w 108"/>
            <a:gd name="T51" fmla="*/ 143 h 166"/>
            <a:gd name="T52" fmla="*/ 79 w 108"/>
            <a:gd name="T53" fmla="*/ 143 h 166"/>
            <a:gd name="T54" fmla="*/ 75 w 108"/>
            <a:gd name="T55" fmla="*/ 139 h 166"/>
            <a:gd name="T56" fmla="*/ 75 w 108"/>
            <a:gd name="T57" fmla="*/ 150 h 166"/>
            <a:gd name="T58" fmla="*/ 34 w 108"/>
            <a:gd name="T59" fmla="*/ 150 h 166"/>
            <a:gd name="T60" fmla="*/ 30 w 108"/>
            <a:gd name="T61" fmla="*/ 154 h 166"/>
            <a:gd name="T62" fmla="*/ 30 w 108"/>
            <a:gd name="T63" fmla="*/ 156 h 166"/>
            <a:gd name="T64" fmla="*/ 34 w 108"/>
            <a:gd name="T65" fmla="*/ 160 h 166"/>
            <a:gd name="T66" fmla="*/ 38 w 108"/>
            <a:gd name="T67" fmla="*/ 160 h 166"/>
            <a:gd name="T68" fmla="*/ 38 w 108"/>
            <a:gd name="T69" fmla="*/ 162 h 166"/>
            <a:gd name="T70" fmla="*/ 42 w 108"/>
            <a:gd name="T71" fmla="*/ 166 h 166"/>
            <a:gd name="T72" fmla="*/ 66 w 108"/>
            <a:gd name="T73" fmla="*/ 166 h 166"/>
            <a:gd name="T74" fmla="*/ 70 w 108"/>
            <a:gd name="T75" fmla="*/ 162 h 166"/>
            <a:gd name="T76" fmla="*/ 70 w 108"/>
            <a:gd name="T77" fmla="*/ 160 h 166"/>
            <a:gd name="T78" fmla="*/ 75 w 108"/>
            <a:gd name="T79" fmla="*/ 160 h 166"/>
            <a:gd name="T80" fmla="*/ 79 w 108"/>
            <a:gd name="T81" fmla="*/ 156 h 166"/>
            <a:gd name="T82" fmla="*/ 79 w 108"/>
            <a:gd name="T83" fmla="*/ 154 h 166"/>
            <a:gd name="T84" fmla="*/ 75 w 108"/>
            <a:gd name="T85" fmla="*/ 150 h 1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08" h="166">
              <a:moveTo>
                <a:pt x="108" y="53"/>
              </a:moveTo>
              <a:cubicBezTo>
                <a:pt x="108" y="68"/>
                <a:pt x="103" y="81"/>
                <a:pt x="94" y="90"/>
              </a:cubicBezTo>
              <a:cubicBezTo>
                <a:pt x="76" y="111"/>
                <a:pt x="86" y="123"/>
                <a:pt x="77" y="123"/>
              </a:cubicBezTo>
              <a:cubicBezTo>
                <a:pt x="32" y="123"/>
                <a:pt x="32" y="123"/>
                <a:pt x="32" y="123"/>
              </a:cubicBezTo>
              <a:cubicBezTo>
                <a:pt x="22" y="123"/>
                <a:pt x="33" y="111"/>
                <a:pt x="15" y="90"/>
              </a:cubicBezTo>
              <a:cubicBezTo>
                <a:pt x="6" y="81"/>
                <a:pt x="0" y="68"/>
                <a:pt x="0" y="53"/>
              </a:cubicBezTo>
              <a:cubicBezTo>
                <a:pt x="0" y="24"/>
                <a:pt x="25" y="0"/>
                <a:pt x="54" y="0"/>
              </a:cubicBezTo>
              <a:cubicBezTo>
                <a:pt x="54" y="0"/>
                <a:pt x="54" y="0"/>
                <a:pt x="54" y="0"/>
              </a:cubicBezTo>
              <a:cubicBezTo>
                <a:pt x="54" y="0"/>
                <a:pt x="54" y="0"/>
                <a:pt x="54" y="0"/>
              </a:cubicBezTo>
              <a:cubicBezTo>
                <a:pt x="84" y="0"/>
                <a:pt x="108" y="24"/>
                <a:pt x="108" y="53"/>
              </a:cubicBezTo>
              <a:moveTo>
                <a:pt x="75" y="127"/>
              </a:moveTo>
              <a:cubicBezTo>
                <a:pt x="34" y="127"/>
                <a:pt x="34" y="127"/>
                <a:pt x="34" y="127"/>
              </a:cubicBezTo>
              <a:cubicBezTo>
                <a:pt x="32" y="127"/>
                <a:pt x="30" y="129"/>
                <a:pt x="30" y="131"/>
              </a:cubicBezTo>
              <a:cubicBezTo>
                <a:pt x="30" y="132"/>
                <a:pt x="30" y="132"/>
                <a:pt x="30" y="132"/>
              </a:cubicBezTo>
              <a:cubicBezTo>
                <a:pt x="30" y="134"/>
                <a:pt x="32" y="136"/>
                <a:pt x="34" y="136"/>
              </a:cubicBezTo>
              <a:cubicBezTo>
                <a:pt x="75" y="136"/>
                <a:pt x="75" y="136"/>
                <a:pt x="75" y="136"/>
              </a:cubicBezTo>
              <a:cubicBezTo>
                <a:pt x="77" y="136"/>
                <a:pt x="79" y="134"/>
                <a:pt x="79" y="132"/>
              </a:cubicBezTo>
              <a:cubicBezTo>
                <a:pt x="79" y="131"/>
                <a:pt x="79" y="131"/>
                <a:pt x="79" y="131"/>
              </a:cubicBezTo>
              <a:cubicBezTo>
                <a:pt x="79" y="129"/>
                <a:pt x="77" y="127"/>
                <a:pt x="75" y="127"/>
              </a:cubicBezTo>
              <a:moveTo>
                <a:pt x="75" y="139"/>
              </a:moveTo>
              <a:cubicBezTo>
                <a:pt x="34" y="139"/>
                <a:pt x="34" y="139"/>
                <a:pt x="34" y="139"/>
              </a:cubicBezTo>
              <a:cubicBezTo>
                <a:pt x="32" y="139"/>
                <a:pt x="30" y="141"/>
                <a:pt x="30" y="143"/>
              </a:cubicBezTo>
              <a:cubicBezTo>
                <a:pt x="30" y="143"/>
                <a:pt x="30" y="143"/>
                <a:pt x="30" y="143"/>
              </a:cubicBezTo>
              <a:cubicBezTo>
                <a:pt x="30" y="145"/>
                <a:pt x="32" y="147"/>
                <a:pt x="34" y="147"/>
              </a:cubicBezTo>
              <a:cubicBezTo>
                <a:pt x="75" y="147"/>
                <a:pt x="75" y="147"/>
                <a:pt x="75" y="147"/>
              </a:cubicBezTo>
              <a:cubicBezTo>
                <a:pt x="77" y="147"/>
                <a:pt x="79" y="145"/>
                <a:pt x="79" y="143"/>
              </a:cubicBezTo>
              <a:cubicBezTo>
                <a:pt x="79" y="143"/>
                <a:pt x="79" y="143"/>
                <a:pt x="79" y="143"/>
              </a:cubicBezTo>
              <a:cubicBezTo>
                <a:pt x="79" y="141"/>
                <a:pt x="77" y="139"/>
                <a:pt x="75" y="139"/>
              </a:cubicBezTo>
              <a:moveTo>
                <a:pt x="75" y="150"/>
              </a:moveTo>
              <a:cubicBezTo>
                <a:pt x="34" y="150"/>
                <a:pt x="34" y="150"/>
                <a:pt x="34" y="150"/>
              </a:cubicBezTo>
              <a:cubicBezTo>
                <a:pt x="32" y="150"/>
                <a:pt x="30" y="152"/>
                <a:pt x="30" y="154"/>
              </a:cubicBezTo>
              <a:cubicBezTo>
                <a:pt x="30" y="156"/>
                <a:pt x="30" y="156"/>
                <a:pt x="30" y="156"/>
              </a:cubicBezTo>
              <a:cubicBezTo>
                <a:pt x="30" y="159"/>
                <a:pt x="32" y="160"/>
                <a:pt x="34" y="160"/>
              </a:cubicBezTo>
              <a:cubicBezTo>
                <a:pt x="38" y="160"/>
                <a:pt x="38" y="160"/>
                <a:pt x="38" y="160"/>
              </a:cubicBezTo>
              <a:cubicBezTo>
                <a:pt x="38" y="162"/>
                <a:pt x="38" y="162"/>
                <a:pt x="38" y="162"/>
              </a:cubicBezTo>
              <a:cubicBezTo>
                <a:pt x="38" y="164"/>
                <a:pt x="40" y="166"/>
                <a:pt x="42" y="166"/>
              </a:cubicBezTo>
              <a:cubicBezTo>
                <a:pt x="66" y="166"/>
                <a:pt x="66" y="166"/>
                <a:pt x="66" y="166"/>
              </a:cubicBezTo>
              <a:cubicBezTo>
                <a:pt x="69" y="166"/>
                <a:pt x="70" y="164"/>
                <a:pt x="70" y="162"/>
              </a:cubicBezTo>
              <a:cubicBezTo>
                <a:pt x="70" y="160"/>
                <a:pt x="70" y="160"/>
                <a:pt x="70" y="160"/>
              </a:cubicBezTo>
              <a:cubicBezTo>
                <a:pt x="75" y="160"/>
                <a:pt x="75" y="160"/>
                <a:pt x="75" y="160"/>
              </a:cubicBezTo>
              <a:cubicBezTo>
                <a:pt x="77" y="160"/>
                <a:pt x="79" y="159"/>
                <a:pt x="79" y="156"/>
              </a:cubicBezTo>
              <a:cubicBezTo>
                <a:pt x="79" y="154"/>
                <a:pt x="79" y="154"/>
                <a:pt x="79" y="154"/>
              </a:cubicBezTo>
              <a:cubicBezTo>
                <a:pt x="79" y="152"/>
                <a:pt x="77" y="150"/>
                <a:pt x="75" y="150"/>
              </a:cubicBezTo>
            </a:path>
          </a:pathLst>
        </a:custGeom>
        <a:solidFill>
          <a:schemeClr val="accent1"/>
        </a:solidFill>
        <a:ln>
          <a:noFill/>
        </a:ln>
      </xdr:spPr>
      <xdr:txBody>
        <a:bodyPr vert="horz" wrap="square" lIns="91440" tIns="45720" rIns="91440" bIns="45720" numCol="1" anchor="t" anchorCtr="0" compatLnSpc="1">
          <a:prstTxWarp prst="textNoShape">
            <a:avLst/>
          </a:prstTxWarp>
        </a:bodyP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AT"/>
        </a:p>
      </xdr:txBody>
    </xdr:sp>
    <xdr:clientData/>
  </xdr:twoCellAnchor>
  <xdr:twoCellAnchor>
    <xdr:from>
      <xdr:col>13</xdr:col>
      <xdr:colOff>0</xdr:colOff>
      <xdr:row>24</xdr:row>
      <xdr:rowOff>0</xdr:rowOff>
    </xdr:from>
    <xdr:to>
      <xdr:col>13</xdr:col>
      <xdr:colOff>571500</xdr:colOff>
      <xdr:row>26</xdr:row>
      <xdr:rowOff>39428</xdr:rowOff>
    </xdr:to>
    <xdr:sp macro="" textlink="">
      <xdr:nvSpPr>
        <xdr:cNvPr id="15" name="Freeform 64">
          <a:extLst>
            <a:ext uri="{FF2B5EF4-FFF2-40B4-BE49-F238E27FC236}">
              <a16:creationId xmlns:a16="http://schemas.microsoft.com/office/drawing/2014/main" id="{FAB15A94-6D75-5B4C-8FB3-1208DF8BFE1C}"/>
            </a:ext>
            <a:ext uri="{C183D7F6-B498-43B3-948B-1728B52AA6E4}">
              <adec:decorative xmlns:adec="http://schemas.microsoft.com/office/drawing/2017/decorative" val="1"/>
            </a:ext>
          </a:extLst>
        </xdr:cNvPr>
        <xdr:cNvSpPr>
          <a:spLocks noChangeAspect="1" noEditPoints="1"/>
        </xdr:cNvSpPr>
      </xdr:nvSpPr>
      <xdr:spPr bwMode="auto">
        <a:xfrm>
          <a:off x="12382500" y="9486900"/>
          <a:ext cx="571500" cy="572828"/>
        </a:xfrm>
        <a:custGeom>
          <a:avLst/>
          <a:gdLst>
            <a:gd name="T0" fmla="*/ 183 w 183"/>
            <a:gd name="T1" fmla="*/ 79 h 183"/>
            <a:gd name="T2" fmla="*/ 168 w 183"/>
            <a:gd name="T3" fmla="*/ 81 h 183"/>
            <a:gd name="T4" fmla="*/ 166 w 183"/>
            <a:gd name="T5" fmla="*/ 78 h 183"/>
            <a:gd name="T6" fmla="*/ 149 w 183"/>
            <a:gd name="T7" fmla="*/ 17 h 183"/>
            <a:gd name="T8" fmla="*/ 130 w 183"/>
            <a:gd name="T9" fmla="*/ 34 h 183"/>
            <a:gd name="T10" fmla="*/ 142 w 183"/>
            <a:gd name="T11" fmla="*/ 95 h 183"/>
            <a:gd name="T12" fmla="*/ 144 w 183"/>
            <a:gd name="T13" fmla="*/ 98 h 183"/>
            <a:gd name="T14" fmla="*/ 113 w 183"/>
            <a:gd name="T15" fmla="*/ 79 h 183"/>
            <a:gd name="T16" fmla="*/ 147 w 183"/>
            <a:gd name="T17" fmla="*/ 0 h 183"/>
            <a:gd name="T18" fmla="*/ 183 w 183"/>
            <a:gd name="T19" fmla="*/ 34 h 183"/>
            <a:gd name="T20" fmla="*/ 136 w 183"/>
            <a:gd name="T21" fmla="*/ 69 h 183"/>
            <a:gd name="T22" fmla="*/ 139 w 183"/>
            <a:gd name="T23" fmla="*/ 86 h 183"/>
            <a:gd name="T24" fmla="*/ 149 w 183"/>
            <a:gd name="T25" fmla="*/ 95 h 183"/>
            <a:gd name="T26" fmla="*/ 117 w 183"/>
            <a:gd name="T27" fmla="*/ 137 h 183"/>
            <a:gd name="T28" fmla="*/ 118 w 183"/>
            <a:gd name="T29" fmla="*/ 149 h 183"/>
            <a:gd name="T30" fmla="*/ 154 w 183"/>
            <a:gd name="T31" fmla="*/ 132 h 183"/>
            <a:gd name="T32" fmla="*/ 162 w 183"/>
            <a:gd name="T33" fmla="*/ 83 h 183"/>
            <a:gd name="T34" fmla="*/ 82 w 183"/>
            <a:gd name="T35" fmla="*/ 159 h 183"/>
            <a:gd name="T36" fmla="*/ 89 w 183"/>
            <a:gd name="T37" fmla="*/ 147 h 183"/>
            <a:gd name="T38" fmla="*/ 84 w 183"/>
            <a:gd name="T39" fmla="*/ 139 h 183"/>
            <a:gd name="T40" fmla="*/ 87 w 183"/>
            <a:gd name="T41" fmla="*/ 114 h 183"/>
            <a:gd name="T42" fmla="*/ 107 w 183"/>
            <a:gd name="T43" fmla="*/ 80 h 183"/>
            <a:gd name="T44" fmla="*/ 69 w 183"/>
            <a:gd name="T45" fmla="*/ 147 h 183"/>
            <a:gd name="T46" fmla="*/ 94 w 183"/>
            <a:gd name="T47" fmla="*/ 117 h 183"/>
            <a:gd name="T48" fmla="*/ 88 w 183"/>
            <a:gd name="T49" fmla="*/ 133 h 183"/>
            <a:gd name="T50" fmla="*/ 95 w 183"/>
            <a:gd name="T51" fmla="*/ 149 h 183"/>
            <a:gd name="T52" fmla="*/ 33 w 183"/>
            <a:gd name="T53" fmla="*/ 166 h 183"/>
            <a:gd name="T54" fmla="*/ 16 w 183"/>
            <a:gd name="T55" fmla="*/ 147 h 183"/>
            <a:gd name="T56" fmla="*/ 57 w 183"/>
            <a:gd name="T57" fmla="*/ 130 h 183"/>
            <a:gd name="T58" fmla="*/ 33 w 183"/>
            <a:gd name="T59" fmla="*/ 113 h 183"/>
            <a:gd name="T60" fmla="*/ 0 w 183"/>
            <a:gd name="T61" fmla="*/ 149 h 183"/>
            <a:gd name="T62" fmla="*/ 78 w 183"/>
            <a:gd name="T63" fmla="*/ 183 h 183"/>
            <a:gd name="T64" fmla="*/ 112 w 183"/>
            <a:gd name="T65" fmla="*/ 14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83" h="183">
              <a:moveTo>
                <a:pt x="183" y="34"/>
              </a:moveTo>
              <a:cubicBezTo>
                <a:pt x="183" y="79"/>
                <a:pt x="183" y="79"/>
                <a:pt x="183" y="79"/>
              </a:cubicBezTo>
              <a:cubicBezTo>
                <a:pt x="183" y="87"/>
                <a:pt x="180" y="95"/>
                <a:pt x="175" y="100"/>
              </a:cubicBezTo>
              <a:cubicBezTo>
                <a:pt x="174" y="94"/>
                <a:pt x="172" y="87"/>
                <a:pt x="168" y="81"/>
              </a:cubicBezTo>
              <a:cubicBezTo>
                <a:pt x="167" y="80"/>
                <a:pt x="167" y="80"/>
                <a:pt x="167" y="80"/>
              </a:cubicBezTo>
              <a:cubicBezTo>
                <a:pt x="167" y="79"/>
                <a:pt x="166" y="79"/>
                <a:pt x="166" y="78"/>
              </a:cubicBezTo>
              <a:cubicBezTo>
                <a:pt x="166" y="34"/>
                <a:pt x="166" y="34"/>
                <a:pt x="166" y="34"/>
              </a:cubicBezTo>
              <a:cubicBezTo>
                <a:pt x="166" y="25"/>
                <a:pt x="158" y="17"/>
                <a:pt x="149" y="17"/>
              </a:cubicBezTo>
              <a:cubicBezTo>
                <a:pt x="147" y="17"/>
                <a:pt x="147" y="17"/>
                <a:pt x="147" y="17"/>
              </a:cubicBezTo>
              <a:cubicBezTo>
                <a:pt x="137" y="17"/>
                <a:pt x="130" y="25"/>
                <a:pt x="130" y="34"/>
              </a:cubicBezTo>
              <a:cubicBezTo>
                <a:pt x="130" y="79"/>
                <a:pt x="130" y="79"/>
                <a:pt x="130" y="79"/>
              </a:cubicBezTo>
              <a:cubicBezTo>
                <a:pt x="130" y="87"/>
                <a:pt x="135" y="93"/>
                <a:pt x="142" y="95"/>
              </a:cubicBezTo>
              <a:cubicBezTo>
                <a:pt x="142" y="96"/>
                <a:pt x="142" y="96"/>
                <a:pt x="143" y="96"/>
              </a:cubicBezTo>
              <a:cubicBezTo>
                <a:pt x="144" y="98"/>
                <a:pt x="144" y="98"/>
                <a:pt x="144" y="98"/>
              </a:cubicBezTo>
              <a:cubicBezTo>
                <a:pt x="147" y="103"/>
                <a:pt x="146" y="109"/>
                <a:pt x="142" y="112"/>
              </a:cubicBezTo>
              <a:cubicBezTo>
                <a:pt x="125" y="110"/>
                <a:pt x="113" y="96"/>
                <a:pt x="113" y="79"/>
              </a:cubicBezTo>
              <a:cubicBezTo>
                <a:pt x="113" y="34"/>
                <a:pt x="113" y="34"/>
                <a:pt x="113" y="34"/>
              </a:cubicBezTo>
              <a:cubicBezTo>
                <a:pt x="113" y="16"/>
                <a:pt x="128" y="0"/>
                <a:pt x="147" y="0"/>
              </a:cubicBezTo>
              <a:cubicBezTo>
                <a:pt x="149" y="0"/>
                <a:pt x="149" y="0"/>
                <a:pt x="149" y="0"/>
              </a:cubicBezTo>
              <a:cubicBezTo>
                <a:pt x="167" y="0"/>
                <a:pt x="183" y="16"/>
                <a:pt x="183" y="34"/>
              </a:cubicBezTo>
              <a:close/>
              <a:moveTo>
                <a:pt x="162" y="83"/>
              </a:moveTo>
              <a:cubicBezTo>
                <a:pt x="156" y="75"/>
                <a:pt x="146" y="69"/>
                <a:pt x="136" y="69"/>
              </a:cubicBezTo>
              <a:cubicBezTo>
                <a:pt x="136" y="79"/>
                <a:pt x="136" y="79"/>
                <a:pt x="136" y="79"/>
              </a:cubicBezTo>
              <a:cubicBezTo>
                <a:pt x="136" y="82"/>
                <a:pt x="137" y="84"/>
                <a:pt x="139" y="86"/>
              </a:cubicBezTo>
              <a:cubicBezTo>
                <a:pt x="142" y="87"/>
                <a:pt x="146" y="90"/>
                <a:pt x="148" y="93"/>
              </a:cubicBezTo>
              <a:cubicBezTo>
                <a:pt x="149" y="95"/>
                <a:pt x="149" y="95"/>
                <a:pt x="149" y="95"/>
              </a:cubicBezTo>
              <a:cubicBezTo>
                <a:pt x="154" y="102"/>
                <a:pt x="152" y="113"/>
                <a:pt x="145" y="118"/>
              </a:cubicBezTo>
              <a:cubicBezTo>
                <a:pt x="117" y="137"/>
                <a:pt x="117" y="137"/>
                <a:pt x="117" y="137"/>
              </a:cubicBezTo>
              <a:cubicBezTo>
                <a:pt x="118" y="140"/>
                <a:pt x="118" y="144"/>
                <a:pt x="118" y="147"/>
              </a:cubicBezTo>
              <a:cubicBezTo>
                <a:pt x="118" y="149"/>
                <a:pt x="118" y="149"/>
                <a:pt x="118" y="149"/>
              </a:cubicBezTo>
              <a:cubicBezTo>
                <a:pt x="118" y="152"/>
                <a:pt x="118" y="155"/>
                <a:pt x="118" y="157"/>
              </a:cubicBezTo>
              <a:cubicBezTo>
                <a:pt x="154" y="132"/>
                <a:pt x="154" y="132"/>
                <a:pt x="154" y="132"/>
              </a:cubicBezTo>
              <a:cubicBezTo>
                <a:pt x="170" y="121"/>
                <a:pt x="174" y="100"/>
                <a:pt x="163" y="85"/>
              </a:cubicBezTo>
              <a:lnTo>
                <a:pt x="162" y="83"/>
              </a:lnTo>
              <a:close/>
              <a:moveTo>
                <a:pt x="70" y="149"/>
              </a:moveTo>
              <a:cubicBezTo>
                <a:pt x="73" y="153"/>
                <a:pt x="77" y="157"/>
                <a:pt x="82" y="159"/>
              </a:cubicBezTo>
              <a:cubicBezTo>
                <a:pt x="86" y="158"/>
                <a:pt x="89" y="154"/>
                <a:pt x="89" y="149"/>
              </a:cubicBezTo>
              <a:cubicBezTo>
                <a:pt x="89" y="147"/>
                <a:pt x="89" y="147"/>
                <a:pt x="89" y="147"/>
              </a:cubicBezTo>
              <a:cubicBezTo>
                <a:pt x="89" y="146"/>
                <a:pt x="89" y="144"/>
                <a:pt x="88" y="143"/>
              </a:cubicBezTo>
              <a:cubicBezTo>
                <a:pt x="87" y="142"/>
                <a:pt x="85" y="141"/>
                <a:pt x="84" y="139"/>
              </a:cubicBezTo>
              <a:cubicBezTo>
                <a:pt x="83" y="137"/>
                <a:pt x="83" y="137"/>
                <a:pt x="83" y="137"/>
              </a:cubicBezTo>
              <a:cubicBezTo>
                <a:pt x="78" y="130"/>
                <a:pt x="80" y="119"/>
                <a:pt x="87" y="114"/>
              </a:cubicBezTo>
              <a:cubicBezTo>
                <a:pt x="111" y="97"/>
                <a:pt x="111" y="97"/>
                <a:pt x="111" y="97"/>
              </a:cubicBezTo>
              <a:cubicBezTo>
                <a:pt x="108" y="92"/>
                <a:pt x="107" y="86"/>
                <a:pt x="107" y="80"/>
              </a:cubicBezTo>
              <a:cubicBezTo>
                <a:pt x="78" y="100"/>
                <a:pt x="78" y="100"/>
                <a:pt x="78" y="100"/>
              </a:cubicBezTo>
              <a:cubicBezTo>
                <a:pt x="62" y="111"/>
                <a:pt x="59" y="132"/>
                <a:pt x="69" y="147"/>
              </a:cubicBezTo>
              <a:lnTo>
                <a:pt x="70" y="149"/>
              </a:lnTo>
              <a:close/>
              <a:moveTo>
                <a:pt x="94" y="117"/>
              </a:moveTo>
              <a:cubicBezTo>
                <a:pt x="91" y="119"/>
                <a:pt x="91" y="119"/>
                <a:pt x="91" y="119"/>
              </a:cubicBezTo>
              <a:cubicBezTo>
                <a:pt x="86" y="122"/>
                <a:pt x="85" y="128"/>
                <a:pt x="88" y="133"/>
              </a:cubicBezTo>
              <a:cubicBezTo>
                <a:pt x="92" y="136"/>
                <a:pt x="95" y="141"/>
                <a:pt x="95" y="147"/>
              </a:cubicBezTo>
              <a:cubicBezTo>
                <a:pt x="95" y="149"/>
                <a:pt x="95" y="149"/>
                <a:pt x="95" y="149"/>
              </a:cubicBezTo>
              <a:cubicBezTo>
                <a:pt x="95" y="159"/>
                <a:pt x="88" y="166"/>
                <a:pt x="78" y="166"/>
              </a:cubicBezTo>
              <a:cubicBezTo>
                <a:pt x="33" y="166"/>
                <a:pt x="33" y="166"/>
                <a:pt x="33" y="166"/>
              </a:cubicBezTo>
              <a:cubicBezTo>
                <a:pt x="24" y="166"/>
                <a:pt x="16" y="159"/>
                <a:pt x="16" y="149"/>
              </a:cubicBezTo>
              <a:cubicBezTo>
                <a:pt x="16" y="147"/>
                <a:pt x="16" y="147"/>
                <a:pt x="16" y="147"/>
              </a:cubicBezTo>
              <a:cubicBezTo>
                <a:pt x="16" y="138"/>
                <a:pt x="24" y="130"/>
                <a:pt x="33" y="130"/>
              </a:cubicBezTo>
              <a:cubicBezTo>
                <a:pt x="57" y="130"/>
                <a:pt x="57" y="130"/>
                <a:pt x="57" y="130"/>
              </a:cubicBezTo>
              <a:cubicBezTo>
                <a:pt x="57" y="124"/>
                <a:pt x="57" y="119"/>
                <a:pt x="60" y="113"/>
              </a:cubicBezTo>
              <a:cubicBezTo>
                <a:pt x="33" y="113"/>
                <a:pt x="33" y="113"/>
                <a:pt x="33" y="113"/>
              </a:cubicBezTo>
              <a:cubicBezTo>
                <a:pt x="15" y="113"/>
                <a:pt x="0" y="128"/>
                <a:pt x="0" y="147"/>
              </a:cubicBezTo>
              <a:cubicBezTo>
                <a:pt x="0" y="149"/>
                <a:pt x="0" y="149"/>
                <a:pt x="0" y="149"/>
              </a:cubicBezTo>
              <a:cubicBezTo>
                <a:pt x="0" y="168"/>
                <a:pt x="15" y="183"/>
                <a:pt x="33" y="183"/>
              </a:cubicBezTo>
              <a:cubicBezTo>
                <a:pt x="78" y="183"/>
                <a:pt x="78" y="183"/>
                <a:pt x="78" y="183"/>
              </a:cubicBezTo>
              <a:cubicBezTo>
                <a:pt x="97" y="183"/>
                <a:pt x="112" y="168"/>
                <a:pt x="112" y="149"/>
              </a:cubicBezTo>
              <a:cubicBezTo>
                <a:pt x="112" y="147"/>
                <a:pt x="112" y="147"/>
                <a:pt x="112" y="147"/>
              </a:cubicBezTo>
              <a:cubicBezTo>
                <a:pt x="112" y="134"/>
                <a:pt x="105" y="123"/>
                <a:pt x="94" y="117"/>
              </a:cubicBezTo>
              <a:close/>
            </a:path>
          </a:pathLst>
        </a:custGeom>
        <a:solidFill>
          <a:schemeClr val="accent1"/>
        </a:solidFill>
        <a:ln>
          <a:noFill/>
        </a:ln>
      </xdr:spPr>
      <xdr:txBody>
        <a:bodyPr vert="horz" wrap="square" lIns="91440" tIns="45720" rIns="91440" bIns="45720" numCol="1" anchor="t" anchorCtr="0" compatLnSpc="1">
          <a:prstTxWarp prst="textNoShape">
            <a:avLst/>
          </a:prstTxWarp>
        </a:bodyPr>
        <a:lstStyle>
          <a:defPPr>
            <a:defRPr lang="de-DE"/>
          </a:defPPr>
          <a:lvl1pPr marL="0" algn="l" defTabSz="685800" rtl="0" eaLnBrk="1" latinLnBrk="0" hangingPunct="1">
            <a:defRPr sz="1350" kern="1200">
              <a:solidFill>
                <a:schemeClr val="tx1"/>
              </a:solidFill>
              <a:latin typeface="+mn-lt"/>
              <a:ea typeface="+mn-ea"/>
              <a:cs typeface="+mn-cs"/>
            </a:defRPr>
          </a:lvl1pPr>
          <a:lvl2pPr marL="342900" algn="l" defTabSz="685800" rtl="0" eaLnBrk="1" latinLnBrk="0" hangingPunct="1">
            <a:defRPr sz="1350" kern="1200">
              <a:solidFill>
                <a:schemeClr val="tx1"/>
              </a:solidFill>
              <a:latin typeface="+mn-lt"/>
              <a:ea typeface="+mn-ea"/>
              <a:cs typeface="+mn-cs"/>
            </a:defRPr>
          </a:lvl2pPr>
          <a:lvl3pPr marL="685800" algn="l" defTabSz="685800" rtl="0" eaLnBrk="1" latinLnBrk="0" hangingPunct="1">
            <a:defRPr sz="1350" kern="1200">
              <a:solidFill>
                <a:schemeClr val="tx1"/>
              </a:solidFill>
              <a:latin typeface="+mn-lt"/>
              <a:ea typeface="+mn-ea"/>
              <a:cs typeface="+mn-cs"/>
            </a:defRPr>
          </a:lvl3pPr>
          <a:lvl4pPr marL="1028700" algn="l" defTabSz="685800" rtl="0" eaLnBrk="1" latinLnBrk="0" hangingPunct="1">
            <a:defRPr sz="1350" kern="1200">
              <a:solidFill>
                <a:schemeClr val="tx1"/>
              </a:solidFill>
              <a:latin typeface="+mn-lt"/>
              <a:ea typeface="+mn-ea"/>
              <a:cs typeface="+mn-cs"/>
            </a:defRPr>
          </a:lvl4pPr>
          <a:lvl5pPr marL="1371600" algn="l" defTabSz="685800" rtl="0" eaLnBrk="1" latinLnBrk="0" hangingPunct="1">
            <a:defRPr sz="1350" kern="1200">
              <a:solidFill>
                <a:schemeClr val="tx1"/>
              </a:solidFill>
              <a:latin typeface="+mn-lt"/>
              <a:ea typeface="+mn-ea"/>
              <a:cs typeface="+mn-cs"/>
            </a:defRPr>
          </a:lvl5pPr>
          <a:lvl6pPr marL="1714500" algn="l" defTabSz="685800" rtl="0" eaLnBrk="1" latinLnBrk="0" hangingPunct="1">
            <a:defRPr sz="1350" kern="1200">
              <a:solidFill>
                <a:schemeClr val="tx1"/>
              </a:solidFill>
              <a:latin typeface="+mn-lt"/>
              <a:ea typeface="+mn-ea"/>
              <a:cs typeface="+mn-cs"/>
            </a:defRPr>
          </a:lvl6pPr>
          <a:lvl7pPr marL="2057400" algn="l" defTabSz="685800" rtl="0" eaLnBrk="1" latinLnBrk="0" hangingPunct="1">
            <a:defRPr sz="1350" kern="1200">
              <a:solidFill>
                <a:schemeClr val="tx1"/>
              </a:solidFill>
              <a:latin typeface="+mn-lt"/>
              <a:ea typeface="+mn-ea"/>
              <a:cs typeface="+mn-cs"/>
            </a:defRPr>
          </a:lvl7pPr>
          <a:lvl8pPr marL="2400300" algn="l" defTabSz="685800" rtl="0" eaLnBrk="1" latinLnBrk="0" hangingPunct="1">
            <a:defRPr sz="1350" kern="1200">
              <a:solidFill>
                <a:schemeClr val="tx1"/>
              </a:solidFill>
              <a:latin typeface="+mn-lt"/>
              <a:ea typeface="+mn-ea"/>
              <a:cs typeface="+mn-cs"/>
            </a:defRPr>
          </a:lvl8pPr>
          <a:lvl9pPr marL="2743200" algn="l" defTabSz="685800" rtl="0" eaLnBrk="1" latinLnBrk="0" hangingPunct="1">
            <a:defRPr sz="1350" kern="1200">
              <a:solidFill>
                <a:schemeClr val="tx1"/>
              </a:solidFill>
              <a:latin typeface="+mn-lt"/>
              <a:ea typeface="+mn-ea"/>
              <a:cs typeface="+mn-cs"/>
            </a:defRPr>
          </a:lvl9pPr>
        </a:lstStyle>
        <a:p>
          <a:endParaRPr lang="de-AT"/>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Stmk!$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Steiermark: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2</xdr:col>
      <xdr:colOff>9525</xdr:colOff>
      <xdr:row>5</xdr:row>
      <xdr:rowOff>304800</xdr:rowOff>
    </xdr:from>
    <xdr:to>
      <xdr:col>10</xdr:col>
      <xdr:colOff>9525</xdr:colOff>
      <xdr:row>32</xdr:row>
      <xdr:rowOff>66675</xdr:rowOff>
    </xdr:to>
    <xdr:graphicFrame macro="">
      <xdr:nvGraphicFramePr>
        <xdr:cNvPr id="2" name="Diagramm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35</xdr:row>
      <xdr:rowOff>114300</xdr:rowOff>
    </xdr:from>
    <xdr:to>
      <xdr:col>10</xdr:col>
      <xdr:colOff>38099</xdr:colOff>
      <xdr:row>50</xdr:row>
      <xdr:rowOff>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T!$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Tirol: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2</xdr:col>
      <xdr:colOff>38100</xdr:colOff>
      <xdr:row>5</xdr:row>
      <xdr:rowOff>66675</xdr:rowOff>
    </xdr:from>
    <xdr:to>
      <xdr:col>10</xdr:col>
      <xdr:colOff>38100</xdr:colOff>
      <xdr:row>31</xdr:row>
      <xdr:rowOff>19050</xdr:rowOff>
    </xdr:to>
    <xdr:graphicFrame macro="">
      <xdr:nvGraphicFramePr>
        <xdr:cNvPr id="2" name="Diagramm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34</xdr:row>
      <xdr:rowOff>114300</xdr:rowOff>
    </xdr:from>
    <xdr:to>
      <xdr:col>10</xdr:col>
      <xdr:colOff>38099</xdr:colOff>
      <xdr:row>48</xdr:row>
      <xdr:rowOff>0</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V!$C$59">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Vorarlberg: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2</xdr:col>
      <xdr:colOff>19050</xdr:colOff>
      <xdr:row>5</xdr:row>
      <xdr:rowOff>47625</xdr:rowOff>
    </xdr:from>
    <xdr:to>
      <xdr:col>10</xdr:col>
      <xdr:colOff>19050</xdr:colOff>
      <xdr:row>31</xdr:row>
      <xdr:rowOff>0</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266699</xdr:colOff>
      <xdr:row>33</xdr:row>
      <xdr:rowOff>114301</xdr:rowOff>
    </xdr:from>
    <xdr:to>
      <xdr:col>10</xdr:col>
      <xdr:colOff>38099</xdr:colOff>
      <xdr:row>46</xdr:row>
      <xdr:rowOff>161926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0.01457</cdr:x>
      <cdr:y>0.02941</cdr:y>
    </cdr:from>
    <cdr:to>
      <cdr:x>0.94752</cdr:x>
      <cdr:y>0.13866</cdr:y>
    </cdr:to>
    <cdr:sp macro="" textlink="uebbneu_Factsheet_W!$C$57">
      <cdr:nvSpPr>
        <cdr:cNvPr id="3" name="Textfeld 2"/>
        <cdr:cNvSpPr txBox="1"/>
      </cdr:nvSpPr>
      <cdr:spPr>
        <a:xfrm xmlns:a="http://schemas.openxmlformats.org/drawingml/2006/main">
          <a:off x="47613" y="68632"/>
          <a:ext cx="3048018" cy="2549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fld id="{593BE569-B53A-4167-945C-4307E74B0FB9}" type="TxLink">
            <a:rPr lang="en-US" sz="1050" b="0" i="0" u="none" strike="noStrike">
              <a:solidFill>
                <a:sysClr val="windowText" lastClr="000000"/>
              </a:solidFill>
              <a:latin typeface="+mn-lt"/>
              <a:cs typeface="Arial" panose="020B0604020202020204" pitchFamily="34" charset="0"/>
            </a:rPr>
            <a:pPr algn="l"/>
            <a:t>Wien: Beteiligungen nach Organisationstyp</a:t>
          </a:fld>
          <a:endParaRPr lang="de-AT" sz="1400">
            <a:solidFill>
              <a:sysClr val="windowText" lastClr="000000"/>
            </a:solidFill>
            <a:latin typeface="+mn-lt"/>
            <a:cs typeface="Arial" panose="020B060402020202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2</xdr:col>
      <xdr:colOff>204789</xdr:colOff>
      <xdr:row>2</xdr:row>
      <xdr:rowOff>180975</xdr:rowOff>
    </xdr:from>
    <xdr:to>
      <xdr:col>8</xdr:col>
      <xdr:colOff>428625</xdr:colOff>
      <xdr:row>35</xdr:row>
      <xdr:rowOff>323850</xdr:rowOff>
    </xdr:to>
    <xdr:graphicFrame macro="">
      <xdr:nvGraphicFramePr>
        <xdr:cNvPr id="2" name="Diagramm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14286</xdr:colOff>
      <xdr:row>2</xdr:row>
      <xdr:rowOff>161925</xdr:rowOff>
    </xdr:from>
    <xdr:to>
      <xdr:col>10</xdr:col>
      <xdr:colOff>1095375</xdr:colOff>
      <xdr:row>22</xdr:row>
      <xdr:rowOff>76200</xdr:rowOff>
    </xdr:to>
    <xdr:graphicFrame macro="">
      <xdr:nvGraphicFramePr>
        <xdr:cNvPr id="2" name="Diagramm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4</xdr:row>
      <xdr:rowOff>223836</xdr:rowOff>
    </xdr:from>
    <xdr:to>
      <xdr:col>4</xdr:col>
      <xdr:colOff>1438275</xdr:colOff>
      <xdr:row>29</xdr:row>
      <xdr:rowOff>19050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30</xdr:row>
      <xdr:rowOff>457200</xdr:rowOff>
    </xdr:from>
    <xdr:to>
      <xdr:col>4</xdr:col>
      <xdr:colOff>1400174</xdr:colOff>
      <xdr:row>39</xdr:row>
      <xdr:rowOff>180975</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0.75123</cdr:x>
      <cdr:y>0.865</cdr:y>
    </cdr:from>
    <cdr:to>
      <cdr:x>0.97917</cdr:x>
      <cdr:y>0.95564</cdr:y>
    </cdr:to>
    <cdr:sp macro="" textlink="">
      <cdr:nvSpPr>
        <cdr:cNvPr id="2" name="Textfeld 1"/>
        <cdr:cNvSpPr txBox="1"/>
      </cdr:nvSpPr>
      <cdr:spPr>
        <a:xfrm xmlns:a="http://schemas.openxmlformats.org/drawingml/2006/main">
          <a:off x="5838825" y="4271964"/>
          <a:ext cx="1771650" cy="447675"/>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de-AT" sz="1050">
              <a:latin typeface="+mn-lt"/>
              <a:cs typeface="Arial" panose="020B0604020202020204" pitchFamily="34" charset="0"/>
            </a:rPr>
            <a:t>Absolutbeträge nach Säulen in Mio. Euro</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19050</xdr:colOff>
      <xdr:row>4</xdr:row>
      <xdr:rowOff>19050</xdr:rowOff>
    </xdr:from>
    <xdr:to>
      <xdr:col>7</xdr:col>
      <xdr:colOff>581025</xdr:colOff>
      <xdr:row>22</xdr:row>
      <xdr:rowOff>190500</xdr:rowOff>
    </xdr:to>
    <xdr:graphicFrame macro="">
      <xdr:nvGraphicFramePr>
        <xdr:cNvPr id="4" name="Diagramm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28575</xdr:colOff>
      <xdr:row>24</xdr:row>
      <xdr:rowOff>317500</xdr:rowOff>
    </xdr:from>
    <xdr:to>
      <xdr:col>7</xdr:col>
      <xdr:colOff>571499</xdr:colOff>
      <xdr:row>40</xdr:row>
      <xdr:rowOff>95250</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xdr:colOff>
      <xdr:row>2</xdr:row>
      <xdr:rowOff>190500</xdr:rowOff>
    </xdr:from>
    <xdr:to>
      <xdr:col>13</xdr:col>
      <xdr:colOff>0</xdr:colOff>
      <xdr:row>27</xdr:row>
      <xdr:rowOff>66675</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33335</xdr:colOff>
      <xdr:row>29</xdr:row>
      <xdr:rowOff>152400</xdr:rowOff>
    </xdr:from>
    <xdr:to>
      <xdr:col>12</xdr:col>
      <xdr:colOff>1314449</xdr:colOff>
      <xdr:row>41</xdr:row>
      <xdr:rowOff>114300</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xdr:row>
      <xdr:rowOff>76200</xdr:rowOff>
    </xdr:from>
    <xdr:to>
      <xdr:col>12</xdr:col>
      <xdr:colOff>1304925</xdr:colOff>
      <xdr:row>26</xdr:row>
      <xdr:rowOff>104775</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4760</xdr:colOff>
      <xdr:row>28</xdr:row>
      <xdr:rowOff>219075</xdr:rowOff>
    </xdr:from>
    <xdr:to>
      <xdr:col>12</xdr:col>
      <xdr:colOff>1285874</xdr:colOff>
      <xdr:row>40</xdr:row>
      <xdr:rowOff>47625</xdr:rowOff>
    </xdr:to>
    <xdr:graphicFrame macro="">
      <xdr:nvGraphicFramePr>
        <xdr:cNvPr id="3" name="Diagramm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mbeddings/embeddedObjectWorkbook.xml><?xml version="1.0" encoding="utf-8"?>
<extended_data xmlns="http://schemas.openxmlformats.org/spreadsheetml/2006/main">
  <version>
    <major>1</major>
    <minor>9</minor>
  </version>
  <worksheet_elements>
    <worksheet_element>
      <wse_properties>
        <wse_property key="data">
          <vt_value>
            <vt_string>["Jedox","EU_PM_CUBE02"]</vt_string>
          </vt_value>
        </wse_property>
        <wse_property key="type?ro">
          <vt_value>
            <vt_string>palo_pres</vt_string>
          </vt_value>
        </wse_property>
      </wse_properties>
    </worksheet_element>
  </worksheet_elements>
  <cell_attributes/>
  <variables>
    <variable key="circa_proposal_Call">
      <value>
        <vt_string>h2020-fetopen-2016-2017</vt_string>
      </value>
    </variable>
    <variable key="test_circa_proposal_Call">
      <value>
        <vt_string>erc-2014-adg</vt_string>
      </value>
    </variable>
  </variables>
</extended_data>
</file>

<file path=xl/embeddings/embeddedObjectsheet1.xml><?xml version="1.0" encoding="utf-8"?>
<extended_data xmlns="http://schemas.openxmlformats.org/spreadsheetml/2006/main">
  <worksheet_elements>
    <worksheet_element>
      <wse_properties>
        <wse_property key="lctn?=f&amp;f:d&amp;f:f=7">
          <vt_value>
            <vt_string>=$B$8:$B$8,#REF!,#REF!,#REF!,#REF!,#REF!,#REF!,#REF!,#REF!,#REF!,#REF!,#REF!,#REF!,#REF!,#REF!,#REF!,#REF!</vt_string>
          </vt_value>
        </wse_property>
        <wse_property key="pv_id">
          <vt_value>
            <vt_string>pv_55ae36e8ea214</vt_string>
          </vt_value>
        </wse_property>
        <wse_property key="payload">
          <vt_value>
            <vt_string>eAF9UltuwjAQvEsOgBKHp/PFs1IpD5XwHZlmGywFO3KcihZxrV6gF+tuCMhUqB+2V+sZ73hnBWf8JLkfCd6+BJKzSPIAF520wmYxPzrTzQ0qeNB9TCp5h3vPkOqjV5NLHjDuTbfJepGMt6OpzyjfjjDfozymF9JayFkyrnZAl51oV6voRimSW50e5npNrt+cA8z5uAIfE3VA6sKLpiVdRLQz3Ek5u6LCa1Ar8Lm3Hr6sWpNhPBxT6eBSu/ls0DRGXFuFopEyERZUaYVKa0pTAss3DUVUm3vDOBmBBZnLrFKZg2QPkHOtTSqVsNo4yNBFsoB788XWfbSEHai6ZfRbFN12CeiQF2N9BfsDmORV57mL7fzFrkwmlCyFlRp/91k4QroulqGfs9lTMv0QeSXB4O9K7IatSofRu2NgO6bHAoyF/zh9lzNAa4zOjDgcXNUDFxNgS2Y/3yYF867NwSmPY+HYwULubawg2zJTFQWopFJpstzGG5dDE3SzEKc41oV8cwF3zqHAeG+g3Ov8bg7uTKNxmYNSX2Kfg7q9hVbRWz4/YUQEis7nX5alFCU=</vt_string>
          </vt_value>
        </wse_property>
        <wse_property key="type?ro">
          <vt_value>
            <vt_string>palo_pv</vt_string>
          </vt_value>
        </wse_property>
      </wse_properties>
    </worksheet_element>
    <worksheet_element>
      <wse_properties>
        <wse_property key="payload">
          <vt_value>
            <vt_string>eAF1U0Fu2zAQ/AsfEIiUZcfUyXHsAHGdBI18FuiKlQnIpEBSRdpA3+oH+rHuSpRLB+mB0mI5sxzOLgVn/F3xJBd8NgaKs1xxCgv/uNKwGM173LlABafzz0mOZ5w8ysq8kYHsOGWcbA7ly75cH+42CcP8LIf8AvOQ3ivvZcPKdXeUuJnlx0HFPK+AfJMtILcIudvwX0IugUUTSAwBqktHTU+4keOXwReVswmVTsGgIOHkZfXl+eZ+VazWeDQdzw6XpdnkULAKRAPlXnipnRe6GihwLp1wQYADbwlLx+1Rh+PAJHnfh9r/Ks44WRXlnfRSNarudD3RAMmg+EfkzhhbKS28sREyjZGMcrLbH+KiTh6lHuxFZ6D0LCZAN0kB52t5OktbfjVNE2Ozj9hnWwutnPDKgBM/20jIPMYy8GG7fSg3P0TTKWnhdg6c850bGZ9ZB9qzqR46AKZzAt0ZrFtcVQfrNm+ttF7+p/5w09uYs4SWW1NbcT7HN1zGGAoHbv/8tpW03409T2Kwc/hcLg1hKSevXuA41LZrW6nLTlfl06F4jTk4mRcOvI7CtOpbDLjqMggsTla6k2nCfI0jfNVguPhaNE1c5LqfMGw7qfUvcWqkvsDCRCX8HSIsiFHf/wUZ+TTQ</vt_string>
          </vt_value>
        </wse_property>
        <wse_property key="pv_id">
          <vt_value>
            <vt_string>pv_55af484887643</vt_string>
          </vt_value>
        </wse_property>
        <wse_property key="lctn?=f&amp;f:d&amp;f:f=7">
          <vt_value>
            <vt_string>=$B$9:$B$9,#REF!,#REF!,#REF!,#REF!,#REF!,#REF!,#REF!,#REF!,#REF!,#REF!,#REF!,#REF!,#REF!,#REF!,#REF!,#REF!,#REF!</vt_string>
          </vt_value>
        </wse_property>
        <wse_property key="type?ro">
          <vt_value>
            <vt_string>palo_pv</vt_string>
          </vt_value>
        </wse_property>
      </wse_properties>
    </worksheet_element>
  </worksheet_elements>
  <cell_attributes>
    <cell_attribute col="3" row="8">
      <attributes>
        <attribute name="&quot;dblclick&quot;" value="[&quot;hnd_openPaloTE&quot;]"/>
      </attributes>
    </cell_attribute>
    <cell_attribute col="4" row="8">
      <attributes>
        <attribute name="&quot;dblclick&quot;" value="[&quot;hnd_openPaloTE&quot;]"/>
      </attributes>
    </cell_attribute>
    <cell_attribute col="5" row="8">
      <attributes>
        <attribute name="&quot;dblclick&quot;" value="[&quot;hnd_openPaloTE&quot;]"/>
      </attributes>
    </cell_attribute>
    <cell_attribute col="6" row="8">
      <attributes>
        <attribute name="&quot;dblclick&quot;" value="[&quot;hnd_openPaloTE&quot;]"/>
      </attributes>
    </cell_attribute>
    <cell_attribute col="3" row="9">
      <attributes>
        <attribute name="&quot;dblclick&quot;" value="[&quot;hnd_openPaloTE&quot;]"/>
      </attributes>
    </cell_attribute>
    <cell_attribute col="4" row="9">
      <attributes>
        <attribute name="&quot;dblclick&quot;" value="[&quot;hnd_openPaloTE&quot;]"/>
      </attributes>
    </cell_attribute>
    <cell_attribute col="5" row="9">
      <attributes>
        <attribute name="&quot;dblclick&quot;" value="[&quot;hnd_openPaloTE&quot;]"/>
      </attributes>
    </cell_attribute>
    <cell_attribute col="6" row="9">
      <attributes>
        <attribute name="&quot;dblclick&quot;" value="[&quot;hnd_openPaloTE&quot;]"/>
      </attributes>
    </cell_attribute>
  </cell_attributes>
</extended_data>
</file>

<file path=xl/theme/theme1.xml><?xml version="1.0" encoding="utf-8"?>
<a:theme xmlns:a="http://schemas.openxmlformats.org/drawingml/2006/main" name="Larissa">
  <a:themeElements>
    <a:clrScheme name="FFG_Farbpalette">
      <a:dk1>
        <a:srgbClr val="000000"/>
      </a:dk1>
      <a:lt1>
        <a:srgbClr val="FFFFFF"/>
      </a:lt1>
      <a:dk2>
        <a:srgbClr val="000000"/>
      </a:dk2>
      <a:lt2>
        <a:srgbClr val="FFFFFF"/>
      </a:lt2>
      <a:accent1>
        <a:srgbClr val="E3032E"/>
      </a:accent1>
      <a:accent2>
        <a:srgbClr val="458CC3"/>
      </a:accent2>
      <a:accent3>
        <a:srgbClr val="3BA88E"/>
      </a:accent3>
      <a:accent4>
        <a:srgbClr val="A1819B"/>
      </a:accent4>
      <a:accent5>
        <a:srgbClr val="F28B4E"/>
      </a:accent5>
      <a:accent6>
        <a:srgbClr val="F7D355"/>
      </a:accent6>
      <a:hlink>
        <a:srgbClr val="E3032E"/>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ffg.at/europa/heu/eic"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oleObject" Target="../embeddings/embeddedObjectsheet1.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oleObject" Target="../embeddings/embeddedObjectWorkbook.x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52"/>
  <sheetViews>
    <sheetView view="pageBreakPreview" topLeftCell="A15" zoomScale="120" zoomScaleNormal="100" zoomScaleSheetLayoutView="120" zoomScalePageLayoutView="50" workbookViewId="0">
      <selection activeCell="A23" sqref="A23"/>
    </sheetView>
  </sheetViews>
  <sheetFormatPr baseColWidth="10" defaultColWidth="11.42578125" defaultRowHeight="12.75"/>
  <cols>
    <col min="1" max="1" width="48.85546875" style="3" customWidth="1"/>
    <col min="2" max="2" width="56" style="3" customWidth="1"/>
    <col min="3" max="7" width="12.85546875" style="3" customWidth="1"/>
    <col min="8" max="16384" width="11.42578125" style="3"/>
  </cols>
  <sheetData>
    <row r="2" spans="1:7">
      <c r="A2" s="1"/>
      <c r="B2" s="2"/>
    </row>
    <row r="3" spans="1:7">
      <c r="B3" s="4"/>
      <c r="C3" s="2"/>
      <c r="D3" s="2"/>
      <c r="E3" s="2"/>
      <c r="F3" s="5"/>
      <c r="G3" s="5"/>
    </row>
    <row r="4" spans="1:7">
      <c r="B4" s="4"/>
      <c r="C4" s="2"/>
      <c r="D4" s="2"/>
      <c r="E4" s="2"/>
      <c r="F4" s="5"/>
      <c r="G4" s="5"/>
    </row>
    <row r="5" spans="1:7">
      <c r="B5" s="4"/>
      <c r="C5" s="2"/>
      <c r="D5" s="2"/>
      <c r="E5" s="2"/>
      <c r="F5" s="5"/>
      <c r="G5" s="5"/>
    </row>
    <row r="6" spans="1:7">
      <c r="B6" s="4"/>
      <c r="C6" s="2"/>
      <c r="D6" s="2"/>
      <c r="E6" s="2"/>
      <c r="F6" s="5"/>
      <c r="G6" s="5"/>
    </row>
    <row r="7" spans="1:7">
      <c r="B7" s="4"/>
      <c r="C7" s="2"/>
      <c r="D7" s="2"/>
      <c r="E7" s="2"/>
      <c r="F7" s="5"/>
      <c r="G7" s="5"/>
    </row>
    <row r="8" spans="1:7" ht="15">
      <c r="A8" s="6"/>
      <c r="B8" s="7"/>
      <c r="C8" s="8"/>
      <c r="E8" s="9" t="str">
        <f ca="1">_xll.PALO.ENAME("jedoxtest/EU_PM_CUBE02","Datenstand",3)</f>
        <v>117</v>
      </c>
      <c r="F8" s="10"/>
      <c r="G8" s="11"/>
    </row>
    <row r="9" spans="1:7">
      <c r="A9" s="6"/>
      <c r="B9" s="4"/>
      <c r="C9" s="8"/>
      <c r="E9" s="9"/>
      <c r="F9" s="10"/>
      <c r="G9" s="12"/>
    </row>
    <row r="10" spans="1:7">
      <c r="C10" s="8"/>
      <c r="E10" s="9"/>
      <c r="F10" s="10"/>
      <c r="G10" s="12"/>
    </row>
    <row r="11" spans="1:7">
      <c r="C11" s="8"/>
      <c r="E11" s="9"/>
      <c r="F11" s="10"/>
      <c r="G11" s="11"/>
    </row>
    <row r="13" spans="1:7">
      <c r="A13" s="2"/>
      <c r="B13" s="2"/>
    </row>
    <row r="14" spans="1:7">
      <c r="A14" s="2"/>
    </row>
    <row r="15" spans="1:7">
      <c r="A15" s="2"/>
      <c r="C15" s="2"/>
      <c r="D15" s="2"/>
      <c r="E15" s="2"/>
      <c r="F15" s="2"/>
      <c r="G15" s="2"/>
    </row>
    <row r="16" spans="1:7">
      <c r="A16" s="2"/>
    </row>
    <row r="17" spans="1:1">
      <c r="A17" s="2"/>
    </row>
    <row r="18" spans="1:1">
      <c r="A18" s="2"/>
    </row>
    <row r="38" spans="1:3" ht="24.75" customHeight="1"/>
    <row r="39" spans="1:3" ht="68.25" customHeight="1">
      <c r="A39"/>
    </row>
    <row r="40" spans="1:3" ht="26.25">
      <c r="A40" s="16" t="str">
        <f>UPPER("Österreich in Horizon Europe")</f>
        <v>ÖSTERREICH IN HORIZON EUROPE</v>
      </c>
    </row>
    <row r="42" spans="1:3">
      <c r="A42" s="3" t="str">
        <f ca="1">"Cockpitbericht zum Datenstand "&amp;_xll.PALO.DATA("jedoxtest/EU_PM_CUBE02","#_Datenstand","reference_day",$E$8)&amp;"."&amp;_xll.PALO.DATA("jedoxtest/EU_PM_CUBE02","#_Datenstand","reference_month",$E$8)&amp;"."&amp;_xll.PALO.DATA("jedoxtest/EU_PM_CUBE02","#_Datenstand","reference_year",$E$8)</f>
        <v>Cockpitbericht zum Datenstand 19.5.2026</v>
      </c>
    </row>
    <row r="43" spans="1:3">
      <c r="A43" s="3" t="s">
        <v>333</v>
      </c>
      <c r="C43" s="13"/>
    </row>
    <row r="44" spans="1:3">
      <c r="C44" s="13"/>
    </row>
    <row r="47" spans="1:3">
      <c r="A47" s="3" t="s">
        <v>110</v>
      </c>
    </row>
    <row r="48" spans="1:3">
      <c r="A48" s="3" t="s">
        <v>111</v>
      </c>
    </row>
    <row r="50" spans="1:2">
      <c r="A50" s="6">
        <f ca="1">TODAY()</f>
        <v>46204</v>
      </c>
    </row>
    <row r="51" spans="1:2" ht="20.25" customHeight="1"/>
    <row r="52" spans="1:2" ht="18.75">
      <c r="A52" s="14" t="s">
        <v>112</v>
      </c>
      <c r="B52" s="15"/>
    </row>
  </sheetData>
  <printOptions horizontalCentered="1"/>
  <pageMargins left="0" right="0" top="0" bottom="0" header="0" footer="0"/>
  <pageSetup paperSize="9" scale="96" orientation="portrait" r:id="rId1"/>
  <headerFooter>
    <oddHeader>&amp;C&amp;K000000&amp;G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rgb="FF00B0F0"/>
    <pageSetUpPr fitToPage="1"/>
  </sheetPr>
  <dimension ref="A1:Q61"/>
  <sheetViews>
    <sheetView zoomScaleNormal="100" workbookViewId="0"/>
  </sheetViews>
  <sheetFormatPr baseColWidth="10" defaultColWidth="11.42578125" defaultRowHeight="15"/>
  <cols>
    <col min="1" max="1" width="11.42578125" style="61" customWidth="1"/>
    <col min="2" max="2" width="6.5703125" style="61" bestFit="1" customWidth="1"/>
    <col min="3" max="3" width="3.85546875" style="387" customWidth="1"/>
    <col min="4" max="4" width="16.5703125" style="61" customWidth="1"/>
    <col min="5" max="5" width="21.28515625" style="61" customWidth="1"/>
    <col min="6" max="6" width="8.7109375" style="61" customWidth="1"/>
    <col min="7" max="7" width="11.42578125" style="61"/>
    <col min="8" max="8" width="10.85546875" style="61" customWidth="1"/>
    <col min="9" max="9" width="11.7109375" style="61" customWidth="1"/>
    <col min="10" max="10" width="5.85546875" style="61" customWidth="1"/>
    <col min="11" max="11" width="9.85546875" style="61" customWidth="1"/>
    <col min="12" max="12" width="12.42578125" style="61" hidden="1" customWidth="1"/>
    <col min="13" max="13" width="17.5703125" style="61" customWidth="1"/>
    <col min="14" max="14" width="2.28515625" style="387" customWidth="1"/>
    <col min="15" max="15" width="2.85546875" style="387" customWidth="1"/>
    <col min="16" max="16384" width="11.42578125" style="61"/>
  </cols>
  <sheetData>
    <row r="1" spans="2:17" s="387" customFormat="1"/>
    <row r="2" spans="2:17" s="387" customFormat="1" ht="42.75" customHeight="1">
      <c r="D2" s="723" t="str">
        <f ca="1">"Anteil Österreichs an "&amp;_xll.PALO.DATA("jedoxtest/EU_PM_CUBE02","#_Datenstand","frameworkprog_long",AT_ExSc_Datenstand)&amp;" in "&amp;$D$14</f>
        <v>Anteil Österreichs an Horizon Europe in Global Challenges and European Industrial Competitiveness</v>
      </c>
      <c r="E2" s="723"/>
      <c r="F2" s="724"/>
      <c r="G2" s="724"/>
      <c r="H2" s="724"/>
      <c r="I2" s="724"/>
      <c r="J2" s="724"/>
      <c r="K2" s="724"/>
      <c r="L2" s="724"/>
      <c r="M2" s="724"/>
      <c r="N2" s="724"/>
      <c r="O2" s="40"/>
      <c r="P2" s="40"/>
      <c r="Q2" s="40"/>
    </row>
    <row r="3" spans="2:17" s="387" customFormat="1" ht="18.75">
      <c r="D3" s="440"/>
      <c r="E3" s="440"/>
      <c r="F3" s="441"/>
      <c r="G3" s="441"/>
      <c r="H3" s="441"/>
      <c r="I3" s="441"/>
      <c r="J3" s="435"/>
      <c r="K3" s="435"/>
      <c r="L3" s="435"/>
      <c r="M3" s="435"/>
      <c r="N3" s="435"/>
      <c r="O3" s="40"/>
      <c r="P3" s="40"/>
      <c r="Q3" s="40"/>
    </row>
    <row r="4" spans="2:17" s="387" customFormat="1">
      <c r="D4" s="40"/>
      <c r="E4" s="717"/>
      <c r="F4" s="717"/>
      <c r="G4" s="717"/>
      <c r="H4" s="717"/>
      <c r="I4" s="717"/>
      <c r="J4" s="717"/>
      <c r="K4" s="717"/>
      <c r="L4" s="717"/>
      <c r="M4" s="717"/>
      <c r="N4" s="40"/>
      <c r="O4" s="40"/>
      <c r="P4" s="40"/>
      <c r="Q4" s="40"/>
    </row>
    <row r="5" spans="2:17" s="387" customFormat="1">
      <c r="D5" s="40"/>
      <c r="E5" s="717" t="s">
        <v>20</v>
      </c>
      <c r="F5" s="717"/>
      <c r="G5" s="717"/>
      <c r="H5" s="717" t="s">
        <v>19</v>
      </c>
      <c r="I5" s="717"/>
      <c r="J5" s="717"/>
      <c r="K5" s="717" t="s">
        <v>18</v>
      </c>
      <c r="L5" s="717"/>
      <c r="M5" s="717"/>
      <c r="N5" s="40"/>
      <c r="O5" s="40"/>
      <c r="P5" s="40"/>
      <c r="Q5" s="40"/>
    </row>
    <row r="6" spans="2:17" s="387" customFormat="1">
      <c r="D6" s="442"/>
      <c r="E6" s="436" t="s">
        <v>17</v>
      </c>
      <c r="F6" s="436" t="s">
        <v>16</v>
      </c>
      <c r="G6" s="436" t="s">
        <v>15</v>
      </c>
      <c r="H6" s="436" t="s">
        <v>17</v>
      </c>
      <c r="I6" s="436" t="s">
        <v>16</v>
      </c>
      <c r="J6" s="436" t="s">
        <v>15</v>
      </c>
      <c r="K6" s="436" t="s">
        <v>17</v>
      </c>
      <c r="L6" s="436" t="s">
        <v>16</v>
      </c>
      <c r="M6" s="437" t="s">
        <v>15</v>
      </c>
      <c r="N6" s="40"/>
      <c r="O6" s="40"/>
      <c r="P6" s="40"/>
      <c r="Q6" s="40"/>
    </row>
    <row r="7" spans="2:17" s="387" customFormat="1">
      <c r="B7" s="387" t="s">
        <v>145</v>
      </c>
      <c r="D7" s="442" t="str">
        <f ca="1">_xll.PALO.DATA("jedoxtest/EU_PM_CUBE02","#_Programme","Langbezeichnung",$B7)</f>
        <v>Health</v>
      </c>
      <c r="E7" s="443">
        <f ca="1">H7/$K7</f>
        <v>2.2281486579490709E-2</v>
      </c>
      <c r="F7" s="443">
        <f ca="1">I7/$L7</f>
        <v>2.5811650109043929E-2</v>
      </c>
      <c r="G7" s="443">
        <f ca="1">J7/$M7</f>
        <v>2.4147727272727272E-2</v>
      </c>
      <c r="H7" s="438">
        <f ca="1">_xll.PALO.DATAC("jedoxtest/EU_PM_CUBE02","EUPM_Mittel2_Cube",AT_ExSc_Datenstand,"Alle Beteiligungen","Alle Koordinatoren","Alle Unternehmensgrößen","-2","Alle Organisationstypen",28,"Alle Expertevaluierungsstatus",$B7,"-2",1,"-2","Alle","-2","anzahl_beteiligungen")</f>
        <v>259</v>
      </c>
      <c r="I7" s="439">
        <f ca="1">_xll.PALO.DATAC("jedoxtest/EU_PM_CUBE02","EUPM_Mittel2_Cube",AT_ExSc_Datenstand,"Alle Beteiligungen","Alle Koordinatoren","Alle Unternehmensgrößen","-2","Alle Organisationstypen",28,"Alle Expertevaluierungsstatus",$B7,"-2",1,"-2","Alle","-2","foerderung")/1000000</f>
        <v>148.7108819</v>
      </c>
      <c r="J7" s="438">
        <f ca="1">_xll.PALO.DATAC("jedoxtest/EU_PM_CUBE02","EUPM_Mittel2_Cube",AT_ExSc_Datenstand,"Alle Beteiligungen","Alle Koordinatoren","Alle Unternehmensgrößen","-2","Alle Organisationstypen",28,"Alle Expertevaluierungsstatus",$B7,"-2",1,"-2","Alle","-2","anzahl_koordinatoren")</f>
        <v>17</v>
      </c>
      <c r="K7" s="438">
        <f ca="1">_xll.PALO.DATAC("jedoxtest/EU_PM_CUBE02","EUPM_Mittel2_Cube",AT_ExSc_Datenstand,"Alle Beteiligungen","Alle Koordinatoren","Alle Unternehmensgrößen","-2","Alle Organisationstypen",28,"Alle Expertevaluierungsstatus",$B7,"-2",-2,"-2","Alle","-2","anzahl_beteiligungen")</f>
        <v>11624</v>
      </c>
      <c r="L7" s="439">
        <f ca="1">_xll.PALO.DATAC("jedoxtest/EU_PM_CUBE02","EUPM_Mittel2_Cube",AT_ExSc_Datenstand,"Alle Beteiligungen","Alle Koordinatoren","Alle Unternehmensgrößen","-2","Alle Organisationstypen",28,"Alle Expertevaluierungsstatus",$B7,"-2","-2","-2","Alle","-2","foerderung")/1000000</f>
        <v>5761.3860900700201</v>
      </c>
      <c r="M7" s="438">
        <f ca="1">_xll.PALO.DATAC("jedoxtest/EU_PM_CUBE02","EUPM_Mittel2_Cube",AT_ExSc_Datenstand,"Alle Beteiligungen","Alle Koordinatoren","Alle Unternehmensgrößen","-2","Alle Organisationstypen",28,"Alle Expertevaluierungsstatus",$B7,"-2",-2,"-2","Alle","-2","anzahl_koordinatoren")</f>
        <v>704</v>
      </c>
      <c r="N7" s="40"/>
      <c r="O7" s="40"/>
      <c r="P7" s="40"/>
      <c r="Q7" s="40"/>
    </row>
    <row r="8" spans="2:17" s="387" customFormat="1">
      <c r="B8" s="387" t="s">
        <v>146</v>
      </c>
      <c r="D8" s="442" t="str">
        <f ca="1">_xll.PALO.DATA("jedoxtest/EU_PM_CUBE02","#_Programme","Langbezeichnung",$B8)</f>
        <v>Culture, creativity and inclusive society</v>
      </c>
      <c r="E8" s="443">
        <f ca="1">H8/$K8</f>
        <v>3.4178403755868544E-2</v>
      </c>
      <c r="F8" s="443">
        <f ca="1">I8/$L8</f>
        <v>4.162745541073825E-2</v>
      </c>
      <c r="G8" s="443">
        <f ca="1">J8/$M8</f>
        <v>5.2256532066508314E-2</v>
      </c>
      <c r="H8" s="438">
        <f ca="1">_xll.PALO.DATAC("jedoxtest/EU_PM_CUBE02","EUPM_Mittel2_Cube",AT_ExSc_Datenstand,"Alle Beteiligungen","Alle Koordinatoren","Alle Unternehmensgrößen","-2","Alle Organisationstypen",28,"Alle Expertevaluierungsstatus",$B8,"-2",1,"-2","Alle","-2","anzahl_beteiligungen")</f>
        <v>182</v>
      </c>
      <c r="I8" s="439">
        <f ca="1">_xll.PALO.DATAC("jedoxtest/EU_PM_CUBE02","EUPM_Mittel2_Cube",AT_ExSc_Datenstand,"Alle Beteiligungen","Alle Koordinatoren","Alle Unternehmensgrößen","-2","Alle Organisationstypen",28,"Alle Expertevaluierungsstatus",$B8,"-2",1,"-2","Alle","-2","foerderung")/1000000</f>
        <v>59.716684180000001</v>
      </c>
      <c r="J8" s="438">
        <f ca="1">_xll.PALO.DATAC("jedoxtest/EU_PM_CUBE02","EUPM_Mittel2_Cube",AT_ExSc_Datenstand,"Alle Beteiligungen","Alle Koordinatoren","Alle Unternehmensgrößen","-2","Alle Organisationstypen",28,"Alle Expertevaluierungsstatus",$B8,"-2",1,"-2","Alle","-2","anzahl_koordinatoren")</f>
        <v>22</v>
      </c>
      <c r="K8" s="438">
        <f ca="1">_xll.PALO.DATAC("jedoxtest/EU_PM_CUBE02","EUPM_Mittel2_Cube",AT_ExSc_Datenstand,"Alle Beteiligungen","Alle Koordinatoren","Alle Unternehmensgrößen","-2","Alle Organisationstypen",28,"Alle Expertevaluierungsstatus",$B8,"-2",-2,"-2","Alle","-2","anzahl_beteiligungen")</f>
        <v>5325</v>
      </c>
      <c r="L8" s="439">
        <f ca="1">_xll.PALO.DATAC("jedoxtest/EU_PM_CUBE02","EUPM_Mittel2_Cube",AT_ExSc_Datenstand,"Alle Beteiligungen","Alle Koordinatoren","Alle Unternehmensgrößen","-2","Alle Organisationstypen",28,"Alle Expertevaluierungsstatus",$B8,"-2","-2","-2","Alle","-2","foerderung")/1000000</f>
        <v>1434.5504329</v>
      </c>
      <c r="M8" s="438">
        <f ca="1">_xll.PALO.DATAC("jedoxtest/EU_PM_CUBE02","EUPM_Mittel2_Cube",AT_ExSc_Datenstand,"Alle Beteiligungen","Alle Koordinatoren","Alle Unternehmensgrößen","-2","Alle Organisationstypen",28,"Alle Expertevaluierungsstatus",$B8,"-2",-2,"-2","Alle","-2","anzahl_koordinatoren")</f>
        <v>421</v>
      </c>
      <c r="N8" s="40"/>
      <c r="O8" s="40"/>
      <c r="P8" s="40"/>
      <c r="Q8" s="40"/>
    </row>
    <row r="9" spans="2:17" s="387" customFormat="1">
      <c r="B9" s="44" t="s">
        <v>147</v>
      </c>
      <c r="D9" s="442" t="str">
        <f ca="1">_xll.PALO.DATA("jedoxtest/EU_PM_CUBE02","#_Programme","Langbezeichnung",$B9)</f>
        <v>Civil Security for Society</v>
      </c>
      <c r="E9" s="443">
        <f ca="1">H9/$K9</f>
        <v>2.7795325331648767E-2</v>
      </c>
      <c r="F9" s="443">
        <f ca="1">I9/$L9</f>
        <v>3.7716038690545177E-2</v>
      </c>
      <c r="G9" s="443">
        <f ca="1">J9/$M9</f>
        <v>3.608247422680412E-2</v>
      </c>
      <c r="H9" s="438">
        <f ca="1">_xll.PALO.DATAC("jedoxtest/EU_PM_CUBE02","EUPM_Mittel2_Cube",AT_ExSc_Datenstand,"Alle Beteiligungen","Alle Koordinatoren","Alle Unternehmensgrößen","-2","Alle Organisationstypen",28,"Alle Expertevaluierungsstatus",$B9,"-2",1,"-2","Alle","-2","anzahl_beteiligungen")</f>
        <v>88</v>
      </c>
      <c r="I9" s="439">
        <f ca="1">_xll.PALO.DATAC("jedoxtest/EU_PM_CUBE02","EUPM_Mittel2_Cube",AT_ExSc_Datenstand,"Alle Beteiligungen","Alle Koordinatoren","Alle Unternehmensgrößen","-2","Alle Organisationstypen",28,"Alle Expertevaluierungsstatus",$B9,"-2",1,"-2","Alle","-2","foerderung")/1000000</f>
        <v>30.921667230000001</v>
      </c>
      <c r="J9" s="438">
        <f ca="1">_xll.PALO.DATAC("jedoxtest/EU_PM_CUBE02","EUPM_Mittel2_Cube",AT_ExSc_Datenstand,"Alle Beteiligungen","Alle Koordinatoren","Alle Unternehmensgrößen","-2","Alle Organisationstypen",28,"Alle Expertevaluierungsstatus",$B9,"-2",1,"-2","Alle","-2","anzahl_koordinatoren")</f>
        <v>7</v>
      </c>
      <c r="K9" s="438">
        <f ca="1">_xll.PALO.DATAC("jedoxtest/EU_PM_CUBE02","EUPM_Mittel2_Cube",AT_ExSc_Datenstand,"Alle Beteiligungen","Alle Koordinatoren","Alle Unternehmensgrößen","-2","Alle Organisationstypen",28,"Alle Expertevaluierungsstatus",$B9,"-2",-2,"-2","Alle","-2","anzahl_beteiligungen")</f>
        <v>3166</v>
      </c>
      <c r="L9" s="439">
        <f ca="1">_xll.PALO.DATAC("jedoxtest/EU_PM_CUBE02","EUPM_Mittel2_Cube",AT_ExSc_Datenstand,"Alle Beteiligungen","Alle Koordinatoren","Alle Unternehmensgrößen","-2","Alle Organisationstypen",28,"Alle Expertevaluierungsstatus",$B9,"-2","-2","-2","Alle","-2","foerderung")/1000000</f>
        <v>819.85458451</v>
      </c>
      <c r="M9" s="438">
        <f ca="1">_xll.PALO.DATAC("jedoxtest/EU_PM_CUBE02","EUPM_Mittel2_Cube",AT_ExSc_Datenstand,"Alle Beteiligungen","Alle Koordinatoren","Alle Unternehmensgrößen","-2","Alle Organisationstypen",28,"Alle Expertevaluierungsstatus",$B9,"-2",-2,"-2","Alle","-2","anzahl_koordinatoren")</f>
        <v>194</v>
      </c>
      <c r="N9" s="40"/>
      <c r="O9" s="40"/>
      <c r="P9" s="40"/>
      <c r="Q9" s="40"/>
    </row>
    <row r="10" spans="2:17" s="387" customFormat="1">
      <c r="B10" s="387" t="s">
        <v>148</v>
      </c>
      <c r="D10" s="442" t="str">
        <f ca="1">_xll.PALO.DATA("jedoxtest/EU_PM_CUBE02","#_Programme","Langbezeichnung",$B10)</f>
        <v>Digital, Industry and Space</v>
      </c>
      <c r="E10" s="443">
        <f t="shared" ref="E10:E12" ca="1" si="0">H10/$K10</f>
        <v>3.7666211638606603E-2</v>
      </c>
      <c r="F10" s="443">
        <f t="shared" ref="F10:F12" ca="1" si="1">I10/$L10</f>
        <v>3.6074575221717101E-2</v>
      </c>
      <c r="G10" s="443">
        <f t="shared" ref="G10:G12" ca="1" si="2">J10/$M10</f>
        <v>3.6891679748822605E-2</v>
      </c>
      <c r="H10" s="438">
        <f ca="1">_xll.PALO.DATAC("jedoxtest/EU_PM_CUBE02","EUPM_Mittel2_Cube",AT_ExSc_Datenstand,"Alle Beteiligungen","Alle Koordinatoren","Alle Unternehmensgrößen","-2","Alle Organisationstypen",28,"Alle Expertevaluierungsstatus",$B10,"-2",1,"-2","Alle","-2","anzahl_beteiligungen")</f>
        <v>745</v>
      </c>
      <c r="I10" s="439">
        <f ca="1">_xll.PALO.DATAC("jedoxtest/EU_PM_CUBE02","EUPM_Mittel2_Cube",AT_ExSc_Datenstand,"Alle Beteiligungen","Alle Koordinatoren","Alle Unternehmensgrößen","-2","Alle Organisationstypen",28,"Alle Expertevaluierungsstatus",$B10,"-2",1,"-2","Alle","-2","foerderung")/1000000</f>
        <v>324.81460499000002</v>
      </c>
      <c r="J10" s="438">
        <f ca="1">_xll.PALO.DATAC("jedoxtest/EU_PM_CUBE02","EUPM_Mittel2_Cube",AT_ExSc_Datenstand,"Alle Beteiligungen","Alle Koordinatoren","Alle Unternehmensgrößen","-2","Alle Organisationstypen",28,"Alle Expertevaluierungsstatus",$B10,"-2",1,"-2","Alle","-2","anzahl_koordinatoren")</f>
        <v>47</v>
      </c>
      <c r="K10" s="438">
        <f ca="1">_xll.PALO.DATAC("jedoxtest/EU_PM_CUBE02","EUPM_Mittel2_Cube",AT_ExSc_Datenstand,"Alle Beteiligungen","Alle Koordinatoren","Alle Unternehmensgrößen","-2","Alle Organisationstypen",28,"Alle Expertevaluierungsstatus",$B10,"-2",-2,"-2","Alle","-2","anzahl_beteiligungen")</f>
        <v>19779</v>
      </c>
      <c r="L10" s="439">
        <f ca="1">_xll.PALO.DATAC("jedoxtest/EU_PM_CUBE02","EUPM_Mittel2_Cube",AT_ExSc_Datenstand,"Alle Beteiligungen","Alle Koordinatoren","Alle Unternehmensgrößen","-2","Alle Organisationstypen",28,"Alle Expertevaluierungsstatus",$B10,"-2","-2","-2","Alle","-2","foerderung")/1000000</f>
        <v>9003.9758748000386</v>
      </c>
      <c r="M10" s="438">
        <f ca="1">_xll.PALO.DATAC("jedoxtest/EU_PM_CUBE02","EUPM_Mittel2_Cube",AT_ExSc_Datenstand,"Alle Beteiligungen","Alle Koordinatoren","Alle Unternehmensgrößen","-2","Alle Organisationstypen",28,"Alle Expertevaluierungsstatus",$B10,"-2",-2,"-2","Alle","-2","anzahl_koordinatoren")</f>
        <v>1274</v>
      </c>
      <c r="N10" s="40"/>
      <c r="O10" s="40"/>
      <c r="P10" s="40"/>
      <c r="Q10" s="40"/>
    </row>
    <row r="11" spans="2:17" s="387" customFormat="1">
      <c r="B11" s="387" t="s">
        <v>149</v>
      </c>
      <c r="D11" s="442" t="str">
        <f ca="1">_xll.PALO.DATA("jedoxtest/EU_PM_CUBE02","#_Programme","Langbezeichnung",$B11)</f>
        <v>Climate, Energy and Mobility</v>
      </c>
      <c r="E11" s="443">
        <f t="shared" ca="1" si="0"/>
        <v>3.3043551654287642E-2</v>
      </c>
      <c r="F11" s="443">
        <f t="shared" ca="1" si="1"/>
        <v>3.8183207069125237E-2</v>
      </c>
      <c r="G11" s="443">
        <f t="shared" ca="1" si="2"/>
        <v>4.808362369337979E-2</v>
      </c>
      <c r="H11" s="438">
        <f ca="1">_xll.PALO.DATAC("jedoxtest/EU_PM_CUBE02","EUPM_Mittel2_Cube",AT_ExSc_Datenstand,"Alle Beteiligungen","Alle Koordinatoren","Alle Unternehmensgrößen","-2","Alle Organisationstypen",28,"Alle Expertevaluierungsstatus",$B11,"-2",1,"-2","Alle","-2","anzahl_beteiligungen")</f>
        <v>783</v>
      </c>
      <c r="I11" s="439">
        <f ca="1">_xll.PALO.DATAC("jedoxtest/EU_PM_CUBE02","EUPM_Mittel2_Cube",AT_ExSc_Datenstand,"Alle Beteiligungen","Alle Koordinatoren","Alle Unternehmensgrößen","-2","Alle Organisationstypen",28,"Alle Expertevaluierungsstatus",$B11,"-2",1,"-2","Alle","-2","foerderung")/1000000</f>
        <v>381.36133322000001</v>
      </c>
      <c r="J11" s="438">
        <f ca="1">_xll.PALO.DATAC("jedoxtest/EU_PM_CUBE02","EUPM_Mittel2_Cube",AT_ExSc_Datenstand,"Alle Beteiligungen","Alle Koordinatoren","Alle Unternehmensgrößen","-2","Alle Organisationstypen",28,"Alle Expertevaluierungsstatus",$B11,"-2",1,"-2","Alle","-2","anzahl_koordinatoren")</f>
        <v>69</v>
      </c>
      <c r="K11" s="438">
        <f ca="1">_xll.PALO.DATAC("jedoxtest/EU_PM_CUBE02","EUPM_Mittel2_Cube",AT_ExSc_Datenstand,"Alle Beteiligungen","Alle Koordinatoren","Alle Unternehmensgrößen","-2","Alle Organisationstypen",28,"Alle Expertevaluierungsstatus",$B11,"-2",-2,"-2","Alle","-2","anzahl_beteiligungen")</f>
        <v>23696</v>
      </c>
      <c r="L11" s="439">
        <f ca="1">_xll.PALO.DATAC("jedoxtest/EU_PM_CUBE02","EUPM_Mittel2_Cube",AT_ExSc_Datenstand,"Alle Beteiligungen","Alle Koordinatoren","Alle Unternehmensgrößen","-2","Alle Organisationstypen",28,"Alle Expertevaluierungsstatus",$B11,"-2","-2","-2","Alle","-2","foerderung")/1000000</f>
        <v>9987.6716099200312</v>
      </c>
      <c r="M11" s="438">
        <f ca="1">_xll.PALO.DATAC("jedoxtest/EU_PM_CUBE02","EUPM_Mittel2_Cube",AT_ExSc_Datenstand,"Alle Beteiligungen","Alle Koordinatoren","Alle Unternehmensgrößen","-2","Alle Organisationstypen",28,"Alle Expertevaluierungsstatus",$B11,"-2",-2,"-2","Alle","-2","anzahl_koordinatoren")</f>
        <v>1435</v>
      </c>
      <c r="N11" s="40"/>
      <c r="O11" s="40"/>
      <c r="P11" s="40"/>
      <c r="Q11" s="40"/>
    </row>
    <row r="12" spans="2:17" s="387" customFormat="1">
      <c r="B12" s="387" t="s">
        <v>150</v>
      </c>
      <c r="D12" s="442" t="str">
        <f ca="1">_xll.PALO.DATA("jedoxtest/EU_PM_CUBE02","#_Programme","Langbezeichnung",$B12)</f>
        <v>Food, Bioeconomy Natural Resources, Agriculture and Environment</v>
      </c>
      <c r="E12" s="443">
        <f t="shared" ca="1" si="0"/>
        <v>2.4367229129662521E-2</v>
      </c>
      <c r="F12" s="443">
        <f t="shared" ca="1" si="1"/>
        <v>2.5355837186323182E-2</v>
      </c>
      <c r="G12" s="443">
        <f t="shared" ca="1" si="2"/>
        <v>2.7083333333333334E-2</v>
      </c>
      <c r="H12" s="438">
        <f ca="1">_xll.PALO.DATAC("jedoxtest/EU_PM_CUBE02","EUPM_Mittel2_Cube",AT_ExSc_Datenstand,"Alle Beteiligungen","Alle Koordinatoren","Alle Unternehmensgrößen","-2","Alle Organisationstypen",28,"Alle Expertevaluierungsstatus",$B12,"-2",1,"-2","Alle","-2","anzahl_beteiligungen")</f>
        <v>439</v>
      </c>
      <c r="I12" s="439">
        <f ca="1">_xll.PALO.DATAC("jedoxtest/EU_PM_CUBE02","EUPM_Mittel2_Cube",AT_ExSc_Datenstand,"Alle Beteiligungen","Alle Koordinatoren","Alle Unternehmensgrößen","-2","Alle Organisationstypen",28,"Alle Expertevaluierungsstatus",$B12,"-2",1,"-2","Alle","-2","foerderung")/1000000</f>
        <v>153.95113197000001</v>
      </c>
      <c r="J12" s="438">
        <f ca="1">_xll.PALO.DATAC("jedoxtest/EU_PM_CUBE02","EUPM_Mittel2_Cube",AT_ExSc_Datenstand,"Alle Beteiligungen","Alle Koordinatoren","Alle Unternehmensgrößen","-2","Alle Organisationstypen",28,"Alle Expertevaluierungsstatus",$B12,"-2",1,"-2","Alle","-2","anzahl_koordinatoren")</f>
        <v>26</v>
      </c>
      <c r="K12" s="438">
        <f ca="1">_xll.PALO.DATAC("jedoxtest/EU_PM_CUBE02","EUPM_Mittel2_Cube",AT_ExSc_Datenstand,"Alle Beteiligungen","Alle Koordinatoren","Alle Unternehmensgrößen","-2","Alle Organisationstypen",28,"Alle Expertevaluierungsstatus",$B12,"-2",-2,"-2","Alle","-2","anzahl_beteiligungen")</f>
        <v>18016</v>
      </c>
      <c r="L12" s="439">
        <f ca="1">_xll.PALO.DATAC("jedoxtest/EU_PM_CUBE02","EUPM_Mittel2_Cube",AT_ExSc_Datenstand,"Alle Beteiligungen","Alle Koordinatoren","Alle Unternehmensgrößen","-2","Alle Organisationstypen",28,"Alle Expertevaluierungsstatus",$B12,"-2","-2","-2","Alle","-2","foerderung")/1000000</f>
        <v>6071.6248822200405</v>
      </c>
      <c r="M12" s="438">
        <f ca="1">_xll.PALO.DATAC("jedoxtest/EU_PM_CUBE02","EUPM_Mittel2_Cube",AT_ExSc_Datenstand,"Alle Beteiligungen","Alle Koordinatoren","Alle Unternehmensgrößen","-2","Alle Organisationstypen",28,"Alle Expertevaluierungsstatus",$B12,"-2",-2,"-2","Alle","-2","anzahl_koordinatoren")</f>
        <v>960</v>
      </c>
      <c r="N12" s="40"/>
      <c r="O12" s="40"/>
      <c r="P12" s="40"/>
      <c r="Q12" s="40"/>
    </row>
    <row r="13" spans="2:17" s="387" customFormat="1">
      <c r="D13" s="40"/>
      <c r="E13" s="40"/>
      <c r="F13" s="40"/>
      <c r="G13" s="40"/>
      <c r="H13" s="40"/>
      <c r="I13" s="40"/>
      <c r="J13" s="40"/>
      <c r="K13" s="40"/>
      <c r="L13" s="40"/>
      <c r="M13" s="40"/>
      <c r="N13" s="40"/>
      <c r="O13" s="40"/>
      <c r="P13" s="40"/>
      <c r="Q13" s="40"/>
    </row>
    <row r="14" spans="2:17" s="387" customFormat="1">
      <c r="B14" s="387" t="s">
        <v>144</v>
      </c>
      <c r="D14" s="442" t="str">
        <f ca="1">_xll.PALO.DATA("jedoxtest/EU_PM_CUBE02","#_Programme","Langbezeichnung",$B14)</f>
        <v>Global Challenges and European Industrial Competitiveness</v>
      </c>
      <c r="E14" s="443">
        <f ca="1">H14/$K14</f>
        <v>3.058598632453496E-2</v>
      </c>
      <c r="F14" s="443">
        <f ca="1">I14/$L14</f>
        <v>3.3237830458537933E-2</v>
      </c>
      <c r="G14" s="443">
        <f ca="1">J14/$M14</f>
        <v>3.7690457097032878E-2</v>
      </c>
      <c r="H14" s="438">
        <f ca="1">_xll.PALO.DATAC("jedoxtest/EU_PM_CUBE02","EUPM_Mittel2_Cube",AT_ExSc_Datenstand,"Alle Beteiligungen","Alle Koordinatoren","Alle Unternehmensgrößen","-2","Alle Organisationstypen",28,"Alle Expertevaluierungsstatus",$B14,"-2",1,"-2","Alle","-2","anzahl_beteiligungen")</f>
        <v>2496</v>
      </c>
      <c r="I14" s="439">
        <f ca="1">_xll.PALO.DATAC("jedoxtest/EU_PM_CUBE02","EUPM_Mittel2_Cube",AT_ExSc_Datenstand,"Alle Beteiligungen","Alle Koordinatoren","Alle Unternehmensgrößen","-2","Alle Organisationstypen",28,"Alle Expertevaluierungsstatus",$B14,"-2",1,"-2","Alle","-2","foerderung")/1000000</f>
        <v>1099.47630349</v>
      </c>
      <c r="J14" s="438">
        <f ca="1">_xll.PALO.DATAC("jedoxtest/EU_PM_CUBE02","EUPM_Mittel2_Cube",AT_ExSc_Datenstand,"Alle Beteiligungen","Alle Koordinatoren","Alle Unternehmensgrößen","-2","Alle Organisationstypen",28,"Alle Expertevaluierungsstatus",$B14,"-2",1,"-2","Alle","-2","anzahl_koordinatoren")</f>
        <v>188</v>
      </c>
      <c r="K14" s="438">
        <f ca="1">_xll.PALO.DATAC("jedoxtest/EU_PM_CUBE02","EUPM_Mittel2_Cube",AT_ExSc_Datenstand,"Alle Beteiligungen","Alle Koordinatoren","Alle Unternehmensgrößen","-2","Alle Organisationstypen",28,"Alle Expertevaluierungsstatus",$B14,"-2",-2,"-2","Alle","-2","anzahl_beteiligungen")</f>
        <v>81606</v>
      </c>
      <c r="L14" s="439">
        <f ca="1">_xll.PALO.DATAC("jedoxtest/EU_PM_CUBE02","EUPM_Mittel2_Cube",AT_ExSc_Datenstand,"Alle Beteiligungen","Alle Koordinatoren","Alle Unternehmensgrößen","-2","Alle Organisationstypen",28,"Alle Expertevaluierungsstatus",$B14,"-2","-2","-2","Alle","-2","foerderung")/1000000</f>
        <v>33079.0634744204</v>
      </c>
      <c r="M14" s="438">
        <f ca="1">_xll.PALO.DATAC("jedoxtest/EU_PM_CUBE02","EUPM_Mittel2_Cube",AT_ExSc_Datenstand,"Alle Beteiligungen","Alle Koordinatoren","Alle Unternehmensgrößen","-2","Alle Organisationstypen",28,"Alle Expertevaluierungsstatus",$B14,"-2",-2,"-2","Alle","-2","anzahl_koordinatoren")</f>
        <v>4988</v>
      </c>
      <c r="N14" s="40"/>
      <c r="O14" s="40"/>
      <c r="P14" s="40"/>
      <c r="Q14" s="40"/>
    </row>
    <row r="15" spans="2:17" s="387" customFormat="1">
      <c r="D15" s="40"/>
      <c r="E15" s="40"/>
      <c r="F15" s="40"/>
      <c r="G15" s="40"/>
      <c r="H15" s="40"/>
      <c r="I15" s="40"/>
      <c r="J15" s="40"/>
      <c r="K15" s="40"/>
      <c r="L15" s="40"/>
      <c r="M15" s="40"/>
      <c r="N15" s="40"/>
      <c r="O15" s="40"/>
      <c r="P15" s="40"/>
      <c r="Q15" s="40"/>
    </row>
    <row r="16" spans="2:17" s="387" customFormat="1">
      <c r="D16" s="40"/>
      <c r="E16" s="40"/>
      <c r="F16" s="40"/>
      <c r="G16" s="40"/>
      <c r="H16" s="40"/>
      <c r="I16" s="40"/>
      <c r="J16" s="40"/>
      <c r="K16" s="40"/>
      <c r="L16" s="40"/>
      <c r="M16" s="40"/>
      <c r="N16" s="40"/>
      <c r="O16" s="40"/>
      <c r="P16" s="40"/>
      <c r="Q16" s="40"/>
    </row>
    <row r="17" spans="2:17" s="387" customFormat="1">
      <c r="D17" s="40"/>
      <c r="E17" s="40"/>
      <c r="F17" s="40"/>
      <c r="G17" s="40"/>
      <c r="H17" s="40"/>
      <c r="I17" s="40"/>
      <c r="J17" s="40"/>
      <c r="K17" s="40"/>
      <c r="L17" s="40"/>
      <c r="M17" s="40"/>
      <c r="N17" s="40"/>
      <c r="O17" s="40"/>
      <c r="P17" s="40"/>
      <c r="Q17" s="40"/>
    </row>
    <row r="18" spans="2:17" s="387" customFormat="1">
      <c r="D18" s="40"/>
      <c r="E18" s="40"/>
      <c r="F18" s="40"/>
      <c r="G18" s="40"/>
      <c r="H18" s="40"/>
      <c r="I18" s="40"/>
      <c r="J18" s="40"/>
      <c r="K18" s="40"/>
      <c r="L18" s="40"/>
      <c r="M18" s="40"/>
      <c r="N18" s="40"/>
      <c r="O18" s="40"/>
      <c r="P18" s="40"/>
      <c r="Q18" s="40"/>
    </row>
    <row r="19" spans="2:17" s="387" customFormat="1"/>
    <row r="20" spans="2:17" s="387" customFormat="1"/>
    <row r="21" spans="2:17" s="387" customFormat="1"/>
    <row r="22" spans="2:17" s="387" customFormat="1"/>
    <row r="23" spans="2:17" s="387" customFormat="1"/>
    <row r="24" spans="2:17" s="387" customFormat="1"/>
    <row r="25" spans="2:17" s="387" customFormat="1"/>
    <row r="26" spans="2:17" s="387" customFormat="1">
      <c r="D26" s="718"/>
      <c r="E26" s="718"/>
      <c r="F26" s="718"/>
      <c r="G26" s="718"/>
      <c r="H26" s="718"/>
      <c r="I26" s="718"/>
      <c r="J26" s="718"/>
      <c r="K26" s="718"/>
      <c r="L26" s="718"/>
      <c r="M26" s="718"/>
    </row>
    <row r="27" spans="2:17" s="387" customFormat="1">
      <c r="D27" s="55"/>
      <c r="E27" s="55"/>
      <c r="F27" s="55"/>
      <c r="G27" s="55"/>
      <c r="H27" s="55"/>
      <c r="I27" s="55"/>
    </row>
    <row r="28" spans="2:17" s="387" customFormat="1" ht="21">
      <c r="D28" s="713" t="s">
        <v>272</v>
      </c>
      <c r="E28" s="713"/>
      <c r="F28" s="713"/>
      <c r="G28" s="713"/>
      <c r="H28" s="713"/>
      <c r="I28" s="713"/>
      <c r="J28" s="713"/>
      <c r="K28" s="713"/>
      <c r="L28" s="713"/>
      <c r="M28" s="713"/>
      <c r="N28" s="713"/>
    </row>
    <row r="29" spans="2:17" s="387" customFormat="1" ht="18.75">
      <c r="D29" s="60"/>
      <c r="E29" s="60"/>
      <c r="F29" s="60"/>
      <c r="G29" s="60"/>
      <c r="H29" s="60"/>
      <c r="I29" s="60"/>
      <c r="J29" s="60"/>
      <c r="K29" s="60"/>
      <c r="L29" s="60"/>
      <c r="M29" s="53"/>
      <c r="N29" s="53"/>
    </row>
    <row r="30" spans="2:17" s="387" customFormat="1" ht="18.75">
      <c r="B30" s="387" t="s">
        <v>145</v>
      </c>
      <c r="D30" s="54" t="str">
        <f ca="1">_xll.PALO.DATA("jedoxtest/EU_PM_CUBE02","#_Programme","Langbezeichnung",$B30)</f>
        <v>Health</v>
      </c>
      <c r="E30" s="58">
        <f ca="1">_xll.PALO.DATAC("jedoxtest/EU_PM_CUBE02","EUPM_Mittel2_Cube",AT_ExSc_Datenstand,"Alle Beteiligungen","Alle Koordinatoren","Alle Unternehmensgrößen","-2","Alle Organisationstypen",28,"Alle Expertevaluierungsstatus",$B30,"-2","-2","-2","Alle","-2","foerderung")/1000000</f>
        <v>5761.3860900700201</v>
      </c>
      <c r="F30" s="60"/>
      <c r="G30" s="60"/>
      <c r="H30" s="60"/>
      <c r="I30" s="60"/>
      <c r="J30" s="60"/>
      <c r="K30" s="60"/>
      <c r="L30" s="60"/>
      <c r="M30" s="53"/>
      <c r="N30" s="53"/>
    </row>
    <row r="31" spans="2:17" s="387" customFormat="1" ht="18.75">
      <c r="B31" s="387" t="s">
        <v>146</v>
      </c>
      <c r="D31" s="54" t="str">
        <f ca="1">_xll.PALO.DATA("jedoxtest/EU_PM_CUBE02","#_Programme","Langbezeichnung",$B31)</f>
        <v>Culture, creativity and inclusive society</v>
      </c>
      <c r="E31" s="58">
        <f ca="1">_xll.PALO.DATAC("jedoxtest/EU_PM_CUBE02","EUPM_Mittel2_Cube",AT_ExSc_Datenstand,"Alle Beteiligungen","Alle Koordinatoren","Alle Unternehmensgrößen","-2","Alle Organisationstypen",28,"Alle Expertevaluierungsstatus",$B31,"-2","-2","-2","Alle","-2","foerderung")/1000000</f>
        <v>1434.5504329</v>
      </c>
      <c r="F31" s="60"/>
      <c r="G31" s="60"/>
      <c r="H31" s="60"/>
      <c r="I31" s="60"/>
      <c r="J31" s="60"/>
      <c r="K31" s="60"/>
      <c r="L31" s="60"/>
      <c r="M31" s="53"/>
      <c r="N31" s="53"/>
    </row>
    <row r="32" spans="2:17" s="387" customFormat="1" ht="18.75">
      <c r="B32" s="44" t="s">
        <v>147</v>
      </c>
      <c r="D32" s="54" t="str">
        <f ca="1">_xll.PALO.DATA("jedoxtest/EU_PM_CUBE02","#_Programme","Langbezeichnung",$B32)</f>
        <v>Civil Security for Society</v>
      </c>
      <c r="E32" s="58">
        <f ca="1">_xll.PALO.DATAC("jedoxtest/EU_PM_CUBE02","EUPM_Mittel2_Cube",AT_ExSc_Datenstand,"Alle Beteiligungen","Alle Koordinatoren","Alle Unternehmensgrößen","-2","Alle Organisationstypen",28,"Alle Expertevaluierungsstatus",$B32,"-2","-2","-2","Alle","-2","foerderung")/1000000</f>
        <v>819.85458451</v>
      </c>
      <c r="F32" s="60"/>
      <c r="G32" s="60"/>
      <c r="H32" s="60"/>
      <c r="I32" s="60"/>
      <c r="J32" s="60"/>
      <c r="K32" s="60"/>
      <c r="L32" s="60"/>
      <c r="M32" s="53"/>
      <c r="N32" s="53"/>
    </row>
    <row r="33" spans="1:15" s="387" customFormat="1" ht="18.75">
      <c r="B33" s="387" t="s">
        <v>148</v>
      </c>
      <c r="D33" s="54" t="str">
        <f ca="1">_xll.PALO.DATA("jedoxtest/EU_PM_CUBE02","#_Programme","Langbezeichnung",$B33)</f>
        <v>Digital, Industry and Space</v>
      </c>
      <c r="E33" s="58">
        <f ca="1">_xll.PALO.DATAC("jedoxtest/EU_PM_CUBE02","EUPM_Mittel2_Cube",AT_ExSc_Datenstand,"Alle Beteiligungen","Alle Koordinatoren","Alle Unternehmensgrößen","-2","Alle Organisationstypen",28,"Alle Expertevaluierungsstatus",$B33,"-2","-2","-2","Alle","-2","foerderung")/1000000</f>
        <v>9003.9758748000386</v>
      </c>
      <c r="F33" s="60"/>
      <c r="G33" s="60"/>
      <c r="H33" s="60"/>
      <c r="I33" s="60"/>
      <c r="J33" s="60"/>
      <c r="K33" s="60"/>
      <c r="L33" s="60"/>
      <c r="M33" s="53"/>
      <c r="N33" s="53"/>
    </row>
    <row r="34" spans="1:15" s="387" customFormat="1" ht="18.75">
      <c r="B34" s="387" t="s">
        <v>149</v>
      </c>
      <c r="D34" s="54" t="str">
        <f ca="1">_xll.PALO.DATA("jedoxtest/EU_PM_CUBE02","#_Programme","Langbezeichnung",$B34)</f>
        <v>Climate, Energy and Mobility</v>
      </c>
      <c r="E34" s="58">
        <f ca="1">_xll.PALO.DATAC("jedoxtest/EU_PM_CUBE02","EUPM_Mittel2_Cube",AT_ExSc_Datenstand,"Alle Beteiligungen","Alle Koordinatoren","Alle Unternehmensgrößen","-2","Alle Organisationstypen",28,"Alle Expertevaluierungsstatus",$B34,"-2","-2","-2","Alle","-2","foerderung")/1000000</f>
        <v>9987.6716099200312</v>
      </c>
      <c r="F34" s="60"/>
      <c r="G34" s="60"/>
      <c r="H34" s="60"/>
      <c r="I34" s="60"/>
      <c r="J34" s="60"/>
      <c r="K34" s="60"/>
      <c r="L34" s="60"/>
      <c r="M34" s="53"/>
      <c r="N34" s="53"/>
    </row>
    <row r="35" spans="1:15" s="387" customFormat="1" ht="18.75">
      <c r="B35" s="387" t="s">
        <v>150</v>
      </c>
      <c r="D35" s="54" t="str">
        <f ca="1">_xll.PALO.DATA("jedoxtest/EU_PM_CUBE02","#_Programme","Langbezeichnung",$B35)</f>
        <v>Food, Bioeconomy Natural Resources, Agriculture and Environment</v>
      </c>
      <c r="E35" s="58">
        <f ca="1">_xll.PALO.DATAC("jedoxtest/EU_PM_CUBE02","EUPM_Mittel2_Cube",AT_ExSc_Datenstand,"Alle Beteiligungen","Alle Koordinatoren","Alle Unternehmensgrößen","-2","Alle Organisationstypen",28,"Alle Expertevaluierungsstatus",$B35,"-2","-2","-2","Alle","-2","foerderung")/1000000</f>
        <v>6071.6248822200405</v>
      </c>
      <c r="F35" s="60"/>
      <c r="G35" s="60"/>
      <c r="H35" s="60"/>
      <c r="I35" s="60"/>
      <c r="J35" s="60"/>
      <c r="K35" s="60"/>
      <c r="L35" s="60"/>
      <c r="M35" s="53"/>
      <c r="N35" s="53"/>
    </row>
    <row r="36" spans="1:15" s="387" customFormat="1" ht="18.75">
      <c r="D36" s="54"/>
      <c r="E36" s="58"/>
      <c r="F36" s="60"/>
      <c r="G36" s="60"/>
      <c r="H36" s="60"/>
      <c r="I36" s="60"/>
      <c r="J36" s="60"/>
      <c r="K36" s="60"/>
      <c r="L36" s="60"/>
      <c r="M36" s="53"/>
      <c r="N36" s="53"/>
    </row>
    <row r="37" spans="1:15" s="387" customFormat="1" ht="18.75">
      <c r="B37" s="387" t="s">
        <v>144</v>
      </c>
      <c r="D37" s="54" t="str">
        <f ca="1">_xll.PALO.DATA("jedoxtest/EU_PM_CUBE02","#_Programme","Langbezeichnung",$B37)</f>
        <v>Global Challenges and European Industrial Competitiveness</v>
      </c>
      <c r="E37" s="58">
        <f ca="1">_xll.PALO.DATAC("jedoxtest/EU_PM_CUBE02","EUPM_Mittel2_Cube",AT_ExSc_Datenstand,"Alle Beteiligungen","Alle Koordinatoren","Alle Unternehmensgrößen","-2","Alle Organisationstypen",28,"Alle Expertevaluierungsstatus",$B37,"-2","-2","-2","Alle","-2","foerderung")/1000000</f>
        <v>33079.0634744204</v>
      </c>
      <c r="F37" s="60"/>
      <c r="G37" s="60"/>
      <c r="H37" s="60"/>
      <c r="I37" s="60"/>
      <c r="J37" s="60"/>
      <c r="K37" s="60"/>
      <c r="L37" s="60"/>
      <c r="M37" s="53"/>
      <c r="N37" s="53"/>
    </row>
    <row r="38" spans="1:15" s="387" customFormat="1">
      <c r="D38" s="60"/>
      <c r="E38" s="60"/>
      <c r="F38" s="60"/>
      <c r="G38" s="60"/>
      <c r="H38" s="60"/>
      <c r="I38" s="60"/>
      <c r="J38" s="60"/>
      <c r="K38" s="60"/>
      <c r="L38" s="60"/>
    </row>
    <row r="39" spans="1:15" s="387" customFormat="1">
      <c r="D39" s="60"/>
      <c r="E39" s="60"/>
      <c r="F39" s="60"/>
      <c r="G39" s="60"/>
      <c r="H39" s="60"/>
      <c r="I39" s="60"/>
      <c r="J39" s="60"/>
      <c r="K39" s="60"/>
      <c r="L39" s="60"/>
    </row>
    <row r="40" spans="1:15" s="387" customFormat="1">
      <c r="D40" s="718"/>
      <c r="E40" s="718"/>
      <c r="F40" s="718"/>
      <c r="G40" s="718"/>
      <c r="H40" s="718"/>
      <c r="I40" s="718"/>
      <c r="J40" s="718"/>
      <c r="K40" s="718"/>
      <c r="L40" s="718"/>
      <c r="M40" s="718"/>
    </row>
    <row r="41" spans="1:15" s="387" customFormat="1"/>
    <row r="42" spans="1:15" s="387" customFormat="1" ht="21">
      <c r="D42" s="713" t="str">
        <f ca="1">"Österreich in "&amp;$D$14</f>
        <v>Österreich in Global Challenges and European Industrial Competitiveness</v>
      </c>
      <c r="E42" s="713"/>
      <c r="F42" s="713"/>
      <c r="G42" s="713"/>
      <c r="H42" s="713"/>
      <c r="I42" s="713"/>
      <c r="J42" s="713"/>
      <c r="K42" s="713"/>
      <c r="L42" s="713"/>
      <c r="M42" s="713"/>
      <c r="N42" s="713"/>
    </row>
    <row r="43" spans="1:15" s="387" customFormat="1" ht="18.75" hidden="1">
      <c r="D43" s="52"/>
      <c r="E43" s="52"/>
      <c r="F43" s="52"/>
      <c r="G43" s="52"/>
      <c r="H43" s="52"/>
      <c r="I43" s="52"/>
      <c r="J43" s="53"/>
      <c r="K43" s="53"/>
      <c r="L43" s="53"/>
      <c r="M43" s="53"/>
      <c r="N43" s="53"/>
    </row>
    <row r="44" spans="1:15" hidden="1">
      <c r="D44" s="39"/>
      <c r="E44" s="39"/>
      <c r="F44" s="39" t="s">
        <v>57</v>
      </c>
      <c r="G44" s="39"/>
      <c r="H44" s="39" t="s">
        <v>59</v>
      </c>
      <c r="I44" s="39"/>
      <c r="J44" s="39" t="s">
        <v>58</v>
      </c>
      <c r="K44" s="39"/>
      <c r="L44" s="39"/>
      <c r="M44" s="39"/>
    </row>
    <row r="45" spans="1:15" ht="35.25" customHeight="1">
      <c r="A45" s="387"/>
      <c r="B45" s="387"/>
      <c r="D45" s="118"/>
      <c r="E45" s="118"/>
      <c r="F45" s="714" t="str">
        <f>UPPER("Beteiligungen")</f>
        <v>BETEILIGUNGEN</v>
      </c>
      <c r="G45" s="714"/>
      <c r="H45" s="714" t="str">
        <f>UPPER("davon in Koordinationsrolle")</f>
        <v>DAVON IN KOORDINATIONSROLLE</v>
      </c>
      <c r="I45" s="714"/>
      <c r="J45" s="714" t="str">
        <f>UPPER("Förderungen")</f>
        <v>FÖRDERUNGEN</v>
      </c>
      <c r="K45" s="714"/>
      <c r="L45" s="390" t="s">
        <v>13</v>
      </c>
      <c r="M45" s="390" t="str">
        <f>UPPER("Erfolgsquote der Beteiligung")</f>
        <v>ERFOLGSQUOTE DER BETEILIGUNG</v>
      </c>
    </row>
    <row r="46" spans="1:15" ht="30.75" customHeight="1">
      <c r="B46" s="387" t="s">
        <v>144</v>
      </c>
      <c r="D46" s="722" t="str">
        <f ca="1">_xll.PALO.DATA("jedoxtest/EU_PM_CUBE02","#_Programme","Langbezeichnung",B46)</f>
        <v>Global Challenges and European Industrial Competitiveness</v>
      </c>
      <c r="E46" s="722"/>
      <c r="F46" s="715">
        <f ca="1">_xll.PALO.DATAC("jedoxtest/EU_PM_CUBE02","EUPM_Mittel2_Cube",AT_ExSc_Datenstand,"Alle Beteiligungen","Alle Koordinatoren","Alle Unternehmensgrößen","-2","Alle Organisationstypen",28,"Alle Expertevaluierungsstatus",$B$46,"-2",1,"-2","Alle","-2","anzahl_beteiligungen")</f>
        <v>2496</v>
      </c>
      <c r="G46" s="715"/>
      <c r="H46" s="715">
        <f ca="1">_xll.PALO.DATAC("jedoxtest/EU_PM_CUBE02","EUPM_Mittel2_Cube",AT_ExSc_Datenstand,"Alle Beteiligungen","Alle Koordinatoren","Alle Unternehmensgrößen","-2","Alle Organisationstypen",28,"Alle Expertevaluierungsstatus",$B$46,"-2",1,"-2","Alle","-2","anzahl_koordinatoren")</f>
        <v>188</v>
      </c>
      <c r="I46" s="715"/>
      <c r="J46" s="715">
        <f ca="1">_xll.PALO.DATAC("jedoxtest/EU_PM_CUBE02","EUPM_Mittel2_Cube",AT_ExSc_Datenstand,"Alle Beteiligungen","Alle Koordinatoren","Alle Unternehmensgrößen","-2","Alle Organisationstypen",28,"Alle Expertevaluierungsstatus",$B$46,"-2",1,"-2","Alle","-2","foerderung")</f>
        <v>1099476303.49</v>
      </c>
      <c r="K46" s="715"/>
      <c r="L46" s="388">
        <f ca="1">_xll.PALO.DATAC("jedoxtest/EU_PM_CUBE02","EUPM_Mittel2_Cube",AT_ExSc_Datenstand,"Alle Beteiligungen","Alle Koordinatoren","Alle Unternehmensgrößen","-2","Alle Organisationstypen",5,"Alle Expertevaluierungsstatus",$B$46,"-2",1,"-2","Alle","-2","anzahl_beteiligungen")</f>
        <v>12205</v>
      </c>
      <c r="M46" s="568">
        <f ca="1">_xll.PALO.DATAC("jedoxtest/EU_PM_CUBE02","EUPM_Mittel2_Cube",AT_ExSc_Datenstand,"Alle Beteiligungen","Alle Koordinatoren","Alle Unternehmensgrößen","-2","Alle Organisationstypen",14,"Alle Expertevaluierungsstatus",$B46,"-2",1,"-2","Alle","-2","anzahl_beteiligungen")/_xll.PALO.DATAC("jedoxtest/EU_PM_CUBE02","EUPM_Mittel2_Cube",AT_ExSc_Datenstand,"Alle Beteiligungen","Alle Koordinatoren","Alle Unternehmensgrößen","-2","Alle Organisationstypen",5,"Alle Expertevaluierungsstatus",$B46,"-2",1,"-2","Alle","-2","anzahl_beteiligungen")</f>
        <v>0.21179844326095862</v>
      </c>
    </row>
    <row r="47" spans="1:15" s="62" customFormat="1">
      <c r="B47" s="387" t="s">
        <v>145</v>
      </c>
      <c r="C47" s="386"/>
      <c r="D47" s="166" t="str">
        <f ca="1">_xll.PALO.DATA("jedoxtest/EU_PM_CUBE02","#_Programme","Langbezeichnung",$B47)</f>
        <v>Health</v>
      </c>
      <c r="E47" s="150"/>
      <c r="F47" s="709">
        <f ca="1">_xll.PALO.DATAC("jedoxtest/EU_PM_CUBE02","EUPM_Mittel2_Cube",AT_ExSc_Datenstand,"Alle Beteiligungen","Alle Koordinatoren","Alle Unternehmensgrößen","-2","Alle Organisationstypen",28,"Alle Expertevaluierungsstatus",$B47,"-2",1,"-2","Alle","-2",F$44)</f>
        <v>259</v>
      </c>
      <c r="G47" s="709"/>
      <c r="H47" s="709">
        <f ca="1">_xll.PALO.DATAC("jedoxtest/EU_PM_CUBE02","EUPM_Mittel2_Cube",AT_ExSc_Datenstand,"Alle Beteiligungen","Alle Koordinatoren","Alle Unternehmensgrößen","-2","Alle Organisationstypen",28,"Alle Expertevaluierungsstatus",$B47,"-2",1,"-2","Alle","-2",H$44)</f>
        <v>17</v>
      </c>
      <c r="I47" s="709"/>
      <c r="J47" s="709">
        <f ca="1">_xll.PALO.DATAC("jedoxtest/EU_PM_CUBE02","EUPM_Mittel2_Cube",AT_ExSc_Datenstand,"Alle Beteiligungen","Alle Koordinatoren","Alle Unternehmensgrößen","-2","Alle Organisationstypen",28,"Alle Expertevaluierungsstatus",$B47,"-2",1,"-2","Alle","-2",J$44)</f>
        <v>148710881.90000001</v>
      </c>
      <c r="K47" s="709"/>
      <c r="L47" s="389">
        <f ca="1">_xll.PALO.DATAC("jedoxtest/EU_PM_CUBE02","EUPM_Mittel2_Cube",AT_ExSc_Datenstand,"Alle Beteiligungen","Alle Koordinatoren","Alle Unternehmensgrößen","-2","Alle Organisationstypen",5,"Alle Expertevaluierungsstatus",$B47,"-2",1,"-2","Alle","-2","anzahl_beteiligungen")</f>
        <v>1207</v>
      </c>
      <c r="M47" s="567">
        <f ca="1">_xll.PALO.DATAC("jedoxtest/EU_PM_CUBE02","EUPM_Mittel2_Cube",AT_ExSc_Datenstand,"Alle Beteiligungen","Alle Koordinatoren","Alle Unternehmensgrößen","-2","Alle Organisationstypen",14,"Alle Expertevaluierungsstatus",$B47,"-2",1,"-2","Alle","-2","anzahl_beteiligungen")/_xll.PALO.DATAC("jedoxtest/EU_PM_CUBE02","EUPM_Mittel2_Cube",AT_ExSc_Datenstand,"Alle Beteiligungen","Alle Koordinatoren","Alle Unternehmensgrößen","-2","Alle Organisationstypen",5,"Alle Expertevaluierungsstatus",$B47,"-2",1,"-2","Alle","-2","anzahl_beteiligungen")</f>
        <v>0.27091963545981773</v>
      </c>
      <c r="N47" s="386"/>
      <c r="O47" s="386"/>
    </row>
    <row r="48" spans="1:15" s="62" customFormat="1">
      <c r="B48" s="387" t="s">
        <v>146</v>
      </c>
      <c r="C48" s="386"/>
      <c r="D48" s="167" t="str">
        <f ca="1">_xll.PALO.DATA("jedoxtest/EU_PM_CUBE02","#_Programme","Langbezeichnung",$B48)</f>
        <v>Culture, creativity and inclusive society</v>
      </c>
      <c r="E48" s="152"/>
      <c r="F48" s="709">
        <f ca="1">_xll.PALO.DATAC("jedoxtest/EU_PM_CUBE02","EUPM_Mittel2_Cube",AT_ExSc_Datenstand,"Alle Beteiligungen","Alle Koordinatoren","Alle Unternehmensgrößen","-2","Alle Organisationstypen",28,"Alle Expertevaluierungsstatus",$B48,"-2",1,"-2","Alle","-2",F$44)</f>
        <v>182</v>
      </c>
      <c r="G48" s="709"/>
      <c r="H48" s="709">
        <f ca="1">_xll.PALO.DATAC("jedoxtest/EU_PM_CUBE02","EUPM_Mittel2_Cube",AT_ExSc_Datenstand,"Alle Beteiligungen","Alle Koordinatoren","Alle Unternehmensgrößen","-2","Alle Organisationstypen",28,"Alle Expertevaluierungsstatus",$B48,"-2",1,"-2","Alle","-2",H$44)</f>
        <v>22</v>
      </c>
      <c r="I48" s="709"/>
      <c r="J48" s="709">
        <f ca="1">_xll.PALO.DATAC("jedoxtest/EU_PM_CUBE02","EUPM_Mittel2_Cube",AT_ExSc_Datenstand,"Alle Beteiligungen","Alle Koordinatoren","Alle Unternehmensgrößen","-2","Alle Organisationstypen",28,"Alle Expertevaluierungsstatus",$B48,"-2",1,"-2","Alle","-2",J$44)</f>
        <v>59716684.18</v>
      </c>
      <c r="K48" s="709"/>
      <c r="L48" s="389">
        <f ca="1">_xll.PALO.DATAC("jedoxtest/EU_PM_CUBE02","EUPM_Mittel2_Cube",AT_ExSc_Datenstand,"Alle Beteiligungen","Alle Koordinatoren","Alle Unternehmensgrößen","-2","Alle Organisationstypen",5,"Alle Expertevaluierungsstatus",$B48,"-2",1,"-2","Alle","-2","anzahl_beteiligungen")</f>
        <v>1270</v>
      </c>
      <c r="M48" s="566">
        <f ca="1">_xll.PALO.DATAC("jedoxtest/EU_PM_CUBE02","EUPM_Mittel2_Cube",AT_ExSc_Datenstand,"Alle Beteiligungen","Alle Koordinatoren","Alle Unternehmensgrößen","-2","Alle Organisationstypen",14,"Alle Expertevaluierungsstatus",$B48,"-2",1,"-2","Alle","-2","anzahl_beteiligungen")/_xll.PALO.DATAC("jedoxtest/EU_PM_CUBE02","EUPM_Mittel2_Cube",AT_ExSc_Datenstand,"Alle Beteiligungen","Alle Koordinatoren","Alle Unternehmensgrößen","-2","Alle Organisationstypen",5,"Alle Expertevaluierungsstatus",$B48,"-2",1,"-2","Alle","-2","anzahl_beteiligungen")</f>
        <v>0.13779527559055119</v>
      </c>
      <c r="N48" s="386"/>
      <c r="O48" s="386"/>
    </row>
    <row r="49" spans="1:15" s="62" customFormat="1">
      <c r="B49" s="44" t="s">
        <v>147</v>
      </c>
      <c r="C49" s="386"/>
      <c r="D49" s="167" t="str">
        <f ca="1">_xll.PALO.DATA("jedoxtest/EU_PM_CUBE02","#_Programme","Langbezeichnung",$B49)</f>
        <v>Civil Security for Society</v>
      </c>
      <c r="E49" s="152"/>
      <c r="F49" s="709">
        <f ca="1">_xll.PALO.DATAC("jedoxtest/EU_PM_CUBE02","EUPM_Mittel2_Cube",AT_ExSc_Datenstand,"Alle Beteiligungen","Alle Koordinatoren","Alle Unternehmensgrößen","-2","Alle Organisationstypen",28,"Alle Expertevaluierungsstatus",$B49,"-2",1,"-2","Alle","-2",F$44)</f>
        <v>88</v>
      </c>
      <c r="G49" s="709"/>
      <c r="H49" s="709">
        <f ca="1">_xll.PALO.DATAC("jedoxtest/EU_PM_CUBE02","EUPM_Mittel2_Cube",AT_ExSc_Datenstand,"Alle Beteiligungen","Alle Koordinatoren","Alle Unternehmensgrößen","-2","Alle Organisationstypen",28,"Alle Expertevaluierungsstatus",$B49,"-2",1,"-2","Alle","-2",H$44)</f>
        <v>7</v>
      </c>
      <c r="I49" s="709"/>
      <c r="J49" s="709">
        <f ca="1">_xll.PALO.DATAC("jedoxtest/EU_PM_CUBE02","EUPM_Mittel2_Cube",AT_ExSc_Datenstand,"Alle Beteiligungen","Alle Koordinatoren","Alle Unternehmensgrößen","-2","Alle Organisationstypen",28,"Alle Expertevaluierungsstatus",$B49,"-2",1,"-2","Alle","-2",J$44)</f>
        <v>30921667.23</v>
      </c>
      <c r="K49" s="709"/>
      <c r="L49" s="389">
        <f ca="1">_xll.PALO.DATAC("jedoxtest/EU_PM_CUBE02","EUPM_Mittel2_Cube",AT_ExSc_Datenstand,"Alle Beteiligungen","Alle Koordinatoren","Alle Unternehmensgrößen","-2","Alle Organisationstypen",5,"Alle Expertevaluierungsstatus",$B49,"-2",1,"-2","Alle","-2","anzahl_beteiligungen")</f>
        <v>954</v>
      </c>
      <c r="M49" s="566">
        <f ca="1">_xll.PALO.DATAC("jedoxtest/EU_PM_CUBE02","EUPM_Mittel2_Cube",AT_ExSc_Datenstand,"Alle Beteiligungen","Alle Koordinatoren","Alle Unternehmensgrößen","-2","Alle Organisationstypen",14,"Alle Expertevaluierungsstatus",$B49,"-2",1,"-2","Alle","-2","anzahl_beteiligungen")/_xll.PALO.DATAC("jedoxtest/EU_PM_CUBE02","EUPM_Mittel2_Cube",AT_ExSc_Datenstand,"Alle Beteiligungen","Alle Koordinatoren","Alle Unternehmensgrößen","-2","Alle Organisationstypen",5,"Alle Expertevaluierungsstatus",$B49,"-2",1,"-2","Alle","-2","anzahl_beteiligungen")</f>
        <v>0.10796645702306079</v>
      </c>
      <c r="N49" s="386"/>
      <c r="O49" s="386"/>
    </row>
    <row r="50" spans="1:15" s="62" customFormat="1">
      <c r="B50" s="387" t="s">
        <v>148</v>
      </c>
      <c r="C50" s="386"/>
      <c r="D50" s="167" t="str">
        <f ca="1">_xll.PALO.DATA("jedoxtest/EU_PM_CUBE02","#_Programme","Langbezeichnung",$B50)</f>
        <v>Digital, Industry and Space</v>
      </c>
      <c r="E50" s="152"/>
      <c r="F50" s="709">
        <f ca="1">_xll.PALO.DATAC("jedoxtest/EU_PM_CUBE02","EUPM_Mittel2_Cube",AT_ExSc_Datenstand,"Alle Beteiligungen","Alle Koordinatoren","Alle Unternehmensgrößen","-2","Alle Organisationstypen",28,"Alle Expertevaluierungsstatus",$B50,"-2",1,"-2","Alle","-2",F$44)</f>
        <v>745</v>
      </c>
      <c r="G50" s="709"/>
      <c r="H50" s="709">
        <f ca="1">_xll.PALO.DATAC("jedoxtest/EU_PM_CUBE02","EUPM_Mittel2_Cube",AT_ExSc_Datenstand,"Alle Beteiligungen","Alle Koordinatoren","Alle Unternehmensgrößen","-2","Alle Organisationstypen",28,"Alle Expertevaluierungsstatus",$B50,"-2",1,"-2","Alle","-2",H$44)</f>
        <v>47</v>
      </c>
      <c r="I50" s="709"/>
      <c r="J50" s="709">
        <f ca="1">_xll.PALO.DATAC("jedoxtest/EU_PM_CUBE02","EUPM_Mittel2_Cube",AT_ExSc_Datenstand,"Alle Beteiligungen","Alle Koordinatoren","Alle Unternehmensgrößen","-2","Alle Organisationstypen",28,"Alle Expertevaluierungsstatus",$B50,"-2",1,"-2","Alle","-2",J$44)</f>
        <v>324814604.99000001</v>
      </c>
      <c r="K50" s="709"/>
      <c r="L50" s="389">
        <f ca="1">_xll.PALO.DATAC("jedoxtest/EU_PM_CUBE02","EUPM_Mittel2_Cube",AT_ExSc_Datenstand,"Alle Beteiligungen","Alle Koordinatoren","Alle Unternehmensgrößen","-2","Alle Organisationstypen",5,"Alle Expertevaluierungsstatus",$B50,"-2",1,"-2","Alle","-2","anzahl_beteiligungen")</f>
        <v>3490</v>
      </c>
      <c r="M50" s="566">
        <f ca="1">_xll.PALO.DATAC("jedoxtest/EU_PM_CUBE02","EUPM_Mittel2_Cube",AT_ExSc_Datenstand,"Alle Beteiligungen","Alle Koordinatoren","Alle Unternehmensgrößen","-2","Alle Organisationstypen",14,"Alle Expertevaluierungsstatus",$B50,"-2",1,"-2","Alle","-2","anzahl_beteiligungen")/_xll.PALO.DATAC("jedoxtest/EU_PM_CUBE02","EUPM_Mittel2_Cube",AT_ExSc_Datenstand,"Alle Beteiligungen","Alle Koordinatoren","Alle Unternehmensgrößen","-2","Alle Organisationstypen",5,"Alle Expertevaluierungsstatus",$B50,"-2",1,"-2","Alle","-2","anzahl_beteiligungen")</f>
        <v>0.22435530085959884</v>
      </c>
      <c r="N50" s="386"/>
      <c r="O50" s="386"/>
    </row>
    <row r="51" spans="1:15" s="62" customFormat="1">
      <c r="B51" s="387" t="s">
        <v>149</v>
      </c>
      <c r="C51" s="386"/>
      <c r="D51" s="167" t="str">
        <f ca="1">_xll.PALO.DATA("jedoxtest/EU_PM_CUBE02","#_Programme","Langbezeichnung",$B51)</f>
        <v>Climate, Energy and Mobility</v>
      </c>
      <c r="E51" s="152"/>
      <c r="F51" s="709">
        <f ca="1">_xll.PALO.DATAC("jedoxtest/EU_PM_CUBE02","EUPM_Mittel2_Cube",AT_ExSc_Datenstand,"Alle Beteiligungen","Alle Koordinatoren","Alle Unternehmensgrößen","-2","Alle Organisationstypen",28,"Alle Expertevaluierungsstatus",$B51,"-2",1,"-2","Alle","-2",F$44)</f>
        <v>783</v>
      </c>
      <c r="G51" s="709"/>
      <c r="H51" s="709">
        <f ca="1">_xll.PALO.DATAC("jedoxtest/EU_PM_CUBE02","EUPM_Mittel2_Cube",AT_ExSc_Datenstand,"Alle Beteiligungen","Alle Koordinatoren","Alle Unternehmensgrößen","-2","Alle Organisationstypen",28,"Alle Expertevaluierungsstatus",$B51,"-2",1,"-2","Alle","-2",H$44)</f>
        <v>69</v>
      </c>
      <c r="I51" s="709"/>
      <c r="J51" s="709">
        <f ca="1">_xll.PALO.DATAC("jedoxtest/EU_PM_CUBE02","EUPM_Mittel2_Cube",AT_ExSc_Datenstand,"Alle Beteiligungen","Alle Koordinatoren","Alle Unternehmensgrößen","-2","Alle Organisationstypen",28,"Alle Expertevaluierungsstatus",$B51,"-2",1,"-2","Alle","-2",J$44)</f>
        <v>381361333.22000003</v>
      </c>
      <c r="K51" s="709"/>
      <c r="L51" s="389">
        <f ca="1">_xll.PALO.DATAC("jedoxtest/EU_PM_CUBE02","EUPM_Mittel2_Cube",AT_ExSc_Datenstand,"Alle Beteiligungen","Alle Koordinatoren","Alle Unternehmensgrößen","-2","Alle Organisationstypen",5,"Alle Expertevaluierungsstatus",$B51,"-2",1,"-2","Alle","-2","anzahl_beteiligungen")</f>
        <v>3530</v>
      </c>
      <c r="M51" s="566">
        <f ca="1">_xll.PALO.DATAC("jedoxtest/EU_PM_CUBE02","EUPM_Mittel2_Cube",AT_ExSc_Datenstand,"Alle Beteiligungen","Alle Koordinatoren","Alle Unternehmensgrößen","-2","Alle Organisationstypen",14,"Alle Expertevaluierungsstatus",$B51,"-2",1,"-2","Alle","-2","anzahl_beteiligungen")/_xll.PALO.DATAC("jedoxtest/EU_PM_CUBE02","EUPM_Mittel2_Cube",AT_ExSc_Datenstand,"Alle Beteiligungen","Alle Koordinatoren","Alle Unternehmensgrößen","-2","Alle Organisationstypen",5,"Alle Expertevaluierungsstatus",$B51,"-2",1,"-2","Alle","-2","anzahl_beteiligungen")</f>
        <v>0.21841359773371105</v>
      </c>
      <c r="N51" s="386"/>
      <c r="O51" s="386"/>
    </row>
    <row r="52" spans="1:15" s="62" customFormat="1" ht="31.5" customHeight="1">
      <c r="B52" s="387" t="s">
        <v>150</v>
      </c>
      <c r="C52" s="386"/>
      <c r="D52" s="726" t="str">
        <f ca="1">_xll.PALO.DATA("jedoxtest/EU_PM_CUBE02","#_Programme","Langbezeichnung",$B52)</f>
        <v>Food, Bioeconomy Natural Resources, Agriculture and Environment</v>
      </c>
      <c r="E52" s="726"/>
      <c r="F52" s="725">
        <f ca="1">_xll.PALO.DATAC("jedoxtest/EU_PM_CUBE02","EUPM_Mittel2_Cube",AT_ExSc_Datenstand,"Alle Beteiligungen","Alle Koordinatoren","Alle Unternehmensgrößen","-2","Alle Organisationstypen",28,"Alle Expertevaluierungsstatus",$B52,"-2",1,"-2","Alle","-2",F$44)</f>
        <v>439</v>
      </c>
      <c r="G52" s="725"/>
      <c r="H52" s="725">
        <f ca="1">_xll.PALO.DATAC("jedoxtest/EU_PM_CUBE02","EUPM_Mittel2_Cube",AT_ExSc_Datenstand,"Alle Beteiligungen","Alle Koordinatoren","Alle Unternehmensgrößen","-2","Alle Organisationstypen",28,"Alle Expertevaluierungsstatus",$B52,"-2",1,"-2","Alle","-2",H$44)</f>
        <v>26</v>
      </c>
      <c r="I52" s="725"/>
      <c r="J52" s="725">
        <f ca="1">_xll.PALO.DATAC("jedoxtest/EU_PM_CUBE02","EUPM_Mittel2_Cube",AT_ExSc_Datenstand,"Alle Beteiligungen","Alle Koordinatoren","Alle Unternehmensgrößen","-2","Alle Organisationstypen",28,"Alle Expertevaluierungsstatus",$B52,"-2",1,"-2","Alle","-2",J$44)</f>
        <v>153951131.97</v>
      </c>
      <c r="K52" s="725"/>
      <c r="L52" s="615">
        <f ca="1">_xll.PALO.DATAC("jedoxtest/EU_PM_CUBE02","EUPM_Mittel2_Cube",AT_ExSc_Datenstand,"Alle Beteiligungen","Alle Koordinatoren","Alle Unternehmensgrößen","-2","Alle Organisationstypen",5,"Alle Expertevaluierungsstatus",$B52,"-2",1,"-2","Alle","-2","anzahl_beteiligungen")</f>
        <v>1754</v>
      </c>
      <c r="M52" s="653">
        <f ca="1">_xll.PALO.DATAC("jedoxtest/EU_PM_CUBE02","EUPM_Mittel2_Cube",AT_ExSc_Datenstand,"Alle Beteiligungen","Alle Koordinatoren","Alle Unternehmensgrößen","-2","Alle Organisationstypen",14,"Alle Expertevaluierungsstatus",$B52,"-2",1,"-2","Alle","-2","anzahl_beteiligungen")/_xll.PALO.DATAC("jedoxtest/EU_PM_CUBE02","EUPM_Mittel2_Cube",AT_ExSc_Datenstand,"Alle Beteiligungen","Alle Koordinatoren","Alle Unternehmensgrößen","-2","Alle Organisationstypen",5,"Alle Expertevaluierungsstatus",$B52,"-2",1,"-2","Alle","-2","anzahl_beteiligungen")</f>
        <v>0.24287343215507412</v>
      </c>
      <c r="N52" s="386"/>
      <c r="O52" s="386"/>
    </row>
    <row r="53" spans="1:15" s="62" customFormat="1" hidden="1">
      <c r="B53" s="44"/>
      <c r="C53" s="386"/>
      <c r="D53" s="391"/>
      <c r="E53" s="392"/>
      <c r="F53" s="393"/>
      <c r="G53" s="393"/>
      <c r="H53" s="393"/>
      <c r="I53" s="393"/>
      <c r="J53" s="393"/>
      <c r="K53" s="393"/>
      <c r="L53" s="393"/>
      <c r="M53" s="394"/>
      <c r="N53" s="386"/>
      <c r="O53" s="386"/>
    </row>
    <row r="54" spans="1:15" s="386" customFormat="1"/>
    <row r="55" spans="1:15" s="386" customFormat="1">
      <c r="K55" s="705" t="str">
        <f ca="1">"Quelle: EC "&amp;_xll.PALO.DATA("jedoxtest/EU_PM_CUBE02","#_Datenstand","reference_month",AT_ExSc_Datenstand)&amp;"/"&amp;_xll.PALO.DATA("jedoxtest/EU_PM_CUBE02","#_Datenstand","reference_year",AT_ExSc_Datenstand)&amp;"; Darstellung FFG"</f>
        <v>Quelle: EC 5/2026; Darstellung FFG</v>
      </c>
      <c r="L55" s="706"/>
      <c r="M55" s="706"/>
      <c r="N55" s="706"/>
    </row>
    <row r="56" spans="1:15" s="386" customFormat="1" hidden="1">
      <c r="K56" s="705"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L56" s="705"/>
      <c r="M56" s="705"/>
      <c r="N56" s="705"/>
    </row>
    <row r="57" spans="1:15" s="387" customFormat="1"/>
    <row r="58" spans="1:15" s="387" customFormat="1"/>
    <row r="59" spans="1:15" s="387" customFormat="1"/>
    <row r="61" spans="1:15" hidden="1">
      <c r="A61" s="61" t="b">
        <f ca="1">_xll.PALO.HIDEROW(ISBLANK($A$1))</f>
        <v>1</v>
      </c>
      <c r="D61" s="61" t="s">
        <v>11</v>
      </c>
      <c r="E61" s="61" t="str">
        <f ca="1">_xll.PALO.ENAME("jedoxtest/EU_PM_CUBE02","Datenstand",3)</f>
        <v>117</v>
      </c>
    </row>
  </sheetData>
  <mergeCells count="39">
    <mergeCell ref="J52:K52"/>
    <mergeCell ref="D52:E52"/>
    <mergeCell ref="K55:N55"/>
    <mergeCell ref="K56:N56"/>
    <mergeCell ref="F50:G50"/>
    <mergeCell ref="H50:I50"/>
    <mergeCell ref="J50:K50"/>
    <mergeCell ref="F51:G51"/>
    <mergeCell ref="H51:I51"/>
    <mergeCell ref="J51:K51"/>
    <mergeCell ref="F52:G52"/>
    <mergeCell ref="H52:I52"/>
    <mergeCell ref="F48:G48"/>
    <mergeCell ref="H48:I48"/>
    <mergeCell ref="J48:K48"/>
    <mergeCell ref="F49:G49"/>
    <mergeCell ref="H49:I49"/>
    <mergeCell ref="J49:K49"/>
    <mergeCell ref="H46:I46"/>
    <mergeCell ref="J46:K46"/>
    <mergeCell ref="F47:G47"/>
    <mergeCell ref="H47:I47"/>
    <mergeCell ref="J47:K47"/>
    <mergeCell ref="D46:E46"/>
    <mergeCell ref="D2:N2"/>
    <mergeCell ref="E4:G4"/>
    <mergeCell ref="H4:J4"/>
    <mergeCell ref="K4:M4"/>
    <mergeCell ref="E5:G5"/>
    <mergeCell ref="H5:J5"/>
    <mergeCell ref="K5:M5"/>
    <mergeCell ref="D26:M26"/>
    <mergeCell ref="D28:N28"/>
    <mergeCell ref="D40:M40"/>
    <mergeCell ref="D42:N42"/>
    <mergeCell ref="F45:G45"/>
    <mergeCell ref="H45:I45"/>
    <mergeCell ref="J45:K45"/>
    <mergeCell ref="F46:G46"/>
  </mergeCells>
  <conditionalFormatting sqref="D46">
    <cfRule type="expression" dxfId="108" priority="21">
      <formula>$E46=4</formula>
    </cfRule>
  </conditionalFormatting>
  <conditionalFormatting sqref="D46:D53">
    <cfRule type="expression" dxfId="107" priority="20">
      <formula>E46=5</formula>
    </cfRule>
  </conditionalFormatting>
  <conditionalFormatting sqref="D47:F47 D48:E51 D52 D53:F53 F46:L46 L53:M53">
    <cfRule type="expression" dxfId="106" priority="23">
      <formula>$E46=4</formula>
    </cfRule>
  </conditionalFormatting>
  <conditionalFormatting sqref="H47:H53">
    <cfRule type="expression" dxfId="105" priority="4">
      <formula>$E47=4</formula>
    </cfRule>
  </conditionalFormatting>
  <conditionalFormatting sqref="J47:J53">
    <cfRule type="expression" dxfId="104" priority="3">
      <formula>$E47=4</formula>
    </cfRule>
  </conditionalFormatting>
  <conditionalFormatting sqref="L47:L52 F48:F52">
    <cfRule type="expression" dxfId="103" priority="5">
      <formula>$E47=4</formula>
    </cfRule>
  </conditionalFormatting>
  <conditionalFormatting sqref="M46:M52">
    <cfRule type="expression" dxfId="102" priority="1">
      <formula>$E46=4</formula>
    </cfRule>
  </conditionalFormatting>
  <pageMargins left="0.70866141732283472" right="0.70866141732283472" top="0.74803149606299213" bottom="0.74803149606299213" header="0.31496062992125984" footer="0.31496062992125984"/>
  <pageSetup paperSize="9" scale="75"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tabColor rgb="FF00B0F0"/>
    <pageSetUpPr fitToPage="1"/>
  </sheetPr>
  <dimension ref="A1:J86"/>
  <sheetViews>
    <sheetView zoomScale="90" zoomScaleNormal="90" workbookViewId="0">
      <selection activeCell="A18" sqref="A18:B27"/>
    </sheetView>
  </sheetViews>
  <sheetFormatPr baseColWidth="10" defaultColWidth="11.42578125" defaultRowHeight="15"/>
  <cols>
    <col min="1" max="3" width="11.42578125" style="61" customWidth="1"/>
    <col min="4" max="4" width="58.42578125" style="61" customWidth="1"/>
    <col min="5" max="6" width="23.28515625" style="398" customWidth="1"/>
    <col min="7" max="7" width="18.7109375" style="398" customWidth="1"/>
    <col min="8" max="12" width="11.42578125" style="61" customWidth="1"/>
    <col min="13" max="16384" width="11.42578125" style="61"/>
  </cols>
  <sheetData>
    <row r="1" spans="2:10" s="387" customFormat="1">
      <c r="E1" s="397"/>
      <c r="F1" s="397"/>
      <c r="G1" s="397"/>
      <c r="I1"/>
    </row>
    <row r="2" spans="2:10" s="387" customFormat="1" ht="46.5" customHeight="1">
      <c r="D2" s="727" t="str">
        <f>"Österreich in Säule Global Challenges and European Industrial Competitiveness - Programmschwerpunkte"</f>
        <v>Österreich in Säule Global Challenges and European Industrial Competitiveness - Programmschwerpunkte</v>
      </c>
      <c r="E2" s="727"/>
      <c r="F2" s="727"/>
      <c r="G2" s="727"/>
    </row>
    <row r="3" spans="2:10" customFormat="1" ht="12.75" customHeight="1"/>
    <row r="4" spans="2:10" customFormat="1" ht="50.25" customHeight="1">
      <c r="D4" s="728" t="s">
        <v>232</v>
      </c>
      <c r="E4" s="728"/>
      <c r="F4" s="728"/>
      <c r="G4" s="728"/>
    </row>
    <row r="5" spans="2:10" customFormat="1" ht="35.25" customHeight="1">
      <c r="D5" s="728" t="s">
        <v>353</v>
      </c>
      <c r="E5" s="728"/>
      <c r="F5" s="728"/>
      <c r="G5" s="728"/>
    </row>
    <row r="6" spans="2:10" customFormat="1" hidden="1"/>
    <row r="7" spans="2:10" s="387" customFormat="1" hidden="1">
      <c r="E7" t="s">
        <v>57</v>
      </c>
      <c r="F7" t="s">
        <v>59</v>
      </c>
      <c r="G7" t="s">
        <v>58</v>
      </c>
      <c r="H7" t="s">
        <v>57</v>
      </c>
      <c r="I7" t="s">
        <v>59</v>
      </c>
      <c r="J7" t="s">
        <v>58</v>
      </c>
    </row>
    <row r="8" spans="2:10" s="387" customFormat="1" hidden="1">
      <c r="E8">
        <v>1</v>
      </c>
      <c r="F8">
        <v>1</v>
      </c>
      <c r="G8">
        <v>1</v>
      </c>
      <c r="H8">
        <v>-2</v>
      </c>
      <c r="I8">
        <v>-2</v>
      </c>
      <c r="J8">
        <v>-2</v>
      </c>
    </row>
    <row r="9" spans="2:10" s="387" customFormat="1" hidden="1">
      <c r="E9" s="397"/>
      <c r="F9" s="397"/>
      <c r="G9" s="397"/>
    </row>
    <row r="10" spans="2:10" s="387" customFormat="1" hidden="1">
      <c r="B10" s="387" t="s">
        <v>145</v>
      </c>
      <c r="D10" s="54" t="str">
        <f ca="1">_xll.PALO.DATA("jedoxtest/EU_PM_CUBE02","#_Programme","Langbezeichnung",$B10)</f>
        <v>Health</v>
      </c>
      <c r="E10" s="397" t="s">
        <v>192</v>
      </c>
      <c r="F10" s="397" t="s">
        <v>198</v>
      </c>
      <c r="G10" s="397"/>
    </row>
    <row r="11" spans="2:10" s="387" customFormat="1" hidden="1">
      <c r="B11" s="387" t="s">
        <v>146</v>
      </c>
      <c r="D11" s="54" t="str">
        <f ca="1">_xll.PALO.DATA("jedoxtest/EU_PM_CUBE02","#_Programme","Langbezeichnung",$B11)</f>
        <v>Culture, creativity and inclusive society</v>
      </c>
      <c r="E11" s="397" t="s">
        <v>193</v>
      </c>
      <c r="F11" s="397" t="s">
        <v>198</v>
      </c>
      <c r="G11" s="397"/>
    </row>
    <row r="12" spans="2:10" s="387" customFormat="1" hidden="1">
      <c r="B12" s="44" t="s">
        <v>147</v>
      </c>
      <c r="D12" s="54" t="str">
        <f ca="1">_xll.PALO.DATA("jedoxtest/EU_PM_CUBE02","#_Programme","Langbezeichnung",$B12)</f>
        <v>Civil Security for Society</v>
      </c>
      <c r="E12" s="397" t="s">
        <v>194</v>
      </c>
      <c r="F12" s="397" t="s">
        <v>198</v>
      </c>
      <c r="G12" s="397"/>
    </row>
    <row r="13" spans="2:10" s="387" customFormat="1" hidden="1">
      <c r="B13" s="387" t="s">
        <v>148</v>
      </c>
      <c r="D13" s="54" t="str">
        <f ca="1">_xll.PALO.DATA("jedoxtest/EU_PM_CUBE02","#_Programme","Langbezeichnung",$B13)</f>
        <v>Digital, Industry and Space</v>
      </c>
      <c r="E13" s="397" t="s">
        <v>195</v>
      </c>
      <c r="F13" s="397" t="s">
        <v>198</v>
      </c>
      <c r="G13" s="397"/>
    </row>
    <row r="14" spans="2:10" s="387" customFormat="1" hidden="1">
      <c r="B14" s="387" t="s">
        <v>149</v>
      </c>
      <c r="D14" s="54" t="str">
        <f ca="1">_xll.PALO.DATA("jedoxtest/EU_PM_CUBE02","#_Programme","Langbezeichnung",$B14)</f>
        <v>Climate, Energy and Mobility</v>
      </c>
      <c r="E14" s="397" t="s">
        <v>196</v>
      </c>
      <c r="F14" s="397" t="s">
        <v>198</v>
      </c>
      <c r="G14" s="397"/>
    </row>
    <row r="15" spans="2:10" s="387" customFormat="1" hidden="1">
      <c r="B15" s="387" t="s">
        <v>150</v>
      </c>
      <c r="D15" s="54" t="str">
        <f ca="1">_xll.PALO.DATA("jedoxtest/EU_PM_CUBE02","#_Programme","Langbezeichnung",$B15)</f>
        <v>Food, Bioeconomy Natural Resources, Agriculture and Environment</v>
      </c>
      <c r="E15" s="397" t="s">
        <v>197</v>
      </c>
      <c r="F15" s="397" t="s">
        <v>198</v>
      </c>
      <c r="G15" s="397"/>
    </row>
    <row r="16" spans="2:10" s="387" customFormat="1">
      <c r="E16" s="397"/>
      <c r="F16" s="397"/>
      <c r="G16" s="397"/>
    </row>
    <row r="17" spans="1:7" s="40" customFormat="1" ht="30">
      <c r="E17" s="401" t="str">
        <f>UPPER("Beteiligungen")</f>
        <v>BETEILIGUNGEN</v>
      </c>
      <c r="F17" s="401" t="str">
        <f>UPPER("davon in Koordinationsrolle")</f>
        <v>DAVON IN KOORDINATIONSROLLE</v>
      </c>
      <c r="G17" s="401" t="str">
        <f>UPPER("Förderung")</f>
        <v>FÖRDERUNG</v>
      </c>
    </row>
    <row r="18" spans="1:7" s="40" customFormat="1" ht="15.75">
      <c r="A18" s="522" t="s">
        <v>145</v>
      </c>
      <c r="B18" s="402">
        <v>1000001</v>
      </c>
      <c r="D18" s="281" t="str">
        <f ca="1">E10&amp;" "&amp;D10</f>
        <v>Cluster 1 Health</v>
      </c>
      <c r="E18" s="399">
        <f ca="1">_xll.PALO.DATAC("jedoxtest/EU_PM_CUBE02","EUPM_Mittel3_Cube",Datenstand,"Alle Beteiligungen","Alle Koordinatoren","Alle Unternehmensgrößen","-2","Alle Organisationstypen",28,"Alle Expertevaluierungsstatus",$A18,"-2",1,-2,"Alle","-2",$B18,E$7)</f>
        <v>176</v>
      </c>
      <c r="F18" s="399">
        <f ca="1">_xll.PALO.DATAC("jedoxtest/EU_PM_CUBE02","EUPM_Mittel3_Cube",Datenstand,"Alle Beteiligungen","Alle Koordinatoren","Alle Unternehmensgrößen","-2","Alle Organisationstypen",28,"Alle Expertevaluierungsstatus",$A18,"-2",1,-2,"Alle","-2",$B18,F$7)</f>
        <v>10</v>
      </c>
      <c r="G18" s="399">
        <f ca="1">_xll.PALO.DATAC("jedoxtest/EU_PM_CUBE02","EUPM_Mittel3_Cube",Datenstand,"Alle Beteiligungen","Alle Koordinatoren","Alle Unternehmensgrößen","-2","Alle Organisationstypen",28,"Alle Expertevaluierungsstatus",$A18,"-2",1,-2,"Alle","-2",$B18,G$7)</f>
        <v>106405399.17</v>
      </c>
    </row>
    <row r="19" spans="1:7" s="40" customFormat="1" ht="30">
      <c r="A19" s="522" t="s">
        <v>145</v>
      </c>
      <c r="B19" s="402">
        <v>100001</v>
      </c>
      <c r="D19" s="400" t="str">
        <f ca="1">_xll.PALO.DATA("jedoxtest/EU_PM_CUBE02","#_Destination","Bezeichnung",$B19)</f>
        <v>Ensuring access to innovative, sustainable and high-quality health care</v>
      </c>
      <c r="E19" s="395">
        <f ca="1">_xll.PALO.DATAC("jedoxtest/EU_PM_CUBE02","EUPM_Mittel3_Cube",Datenstand,"Alle Beteiligungen","Alle Koordinatoren","Alle Unternehmensgrößen","-2","Alle Organisationstypen",28,"Alle Expertevaluierungsstatus",$A19,"-2",1,-2,"Alle","-2",$B19,E$7)</f>
        <v>16</v>
      </c>
      <c r="F19" s="395">
        <f ca="1">_xll.PALO.DATAC("jedoxtest/EU_PM_CUBE02","EUPM_Mittel3_Cube",Datenstand,"Alle Beteiligungen","Alle Koordinatoren","Alle Unternehmensgrößen","-2","Alle Organisationstypen",28,"Alle Expertevaluierungsstatus",$A19,"-2",1,-2,"Alle","-2",$B19,F$7)</f>
        <v>2</v>
      </c>
      <c r="G19" s="395">
        <f ca="1">_xll.PALO.DATAC("jedoxtest/EU_PM_CUBE02","EUPM_Mittel3_Cube",Datenstand,"Alle Beteiligungen","Alle Koordinatoren","Alle Unternehmensgrößen","-2","Alle Organisationstypen",28,"Alle Expertevaluierungsstatus",$A19,"-2",1,-2,"Alle","-2",$B19,G$7)</f>
        <v>10595387.5</v>
      </c>
    </row>
    <row r="20" spans="1:7" s="40" customFormat="1">
      <c r="A20" s="522" t="s">
        <v>145</v>
      </c>
      <c r="B20" s="402">
        <v>100002</v>
      </c>
      <c r="D20" s="400" t="str">
        <f ca="1">_xll.PALO.DATA("jedoxtest/EU_PM_CUBE02","#_Destination","Bezeichnung",$B20)</f>
        <v>Tackling diseases and reducing disease burden</v>
      </c>
      <c r="E20" s="395">
        <f ca="1">_xll.PALO.DATAC("jedoxtest/EU_PM_CUBE02","EUPM_Mittel3_Cube",Datenstand,"Alle Beteiligungen","Alle Koordinatoren","Alle Unternehmensgrößen","-2","Alle Organisationstypen",28,"Alle Expertevaluierungsstatus",$A20,"-2",1,-2,"Alle","-2",$B20,E$7)</f>
        <v>64</v>
      </c>
      <c r="F20" s="395">
        <f ca="1">_xll.PALO.DATAC("jedoxtest/EU_PM_CUBE02","EUPM_Mittel3_Cube",Datenstand,"Alle Beteiligungen","Alle Koordinatoren","Alle Unternehmensgrößen","-2","Alle Organisationstypen",28,"Alle Expertevaluierungsstatus",$A20,"-2",1,-2,"Alle","-2",$B20,F$7)</f>
        <v>3</v>
      </c>
      <c r="G20" s="395">
        <f ca="1">_xll.PALO.DATAC("jedoxtest/EU_PM_CUBE02","EUPM_Mittel3_Cube",Datenstand,"Alle Beteiligungen","Alle Koordinatoren","Alle Unternehmensgrößen","-2","Alle Organisationstypen",28,"Alle Expertevaluierungsstatus",$A20,"-2",1,-2,"Alle","-2",$B20,G$7)</f>
        <v>35346203.869999997</v>
      </c>
    </row>
    <row r="21" spans="1:7" s="40" customFormat="1">
      <c r="A21" s="522" t="s">
        <v>145</v>
      </c>
      <c r="B21" s="402">
        <v>100003</v>
      </c>
      <c r="D21" s="400" t="str">
        <f ca="1">_xll.PALO.DATA("jedoxtest/EU_PM_CUBE02","#_Destination","Bezeichnung",$B21)</f>
        <v>Living and working in a health-promoting environment</v>
      </c>
      <c r="E21" s="395">
        <f ca="1">_xll.PALO.DATAC("jedoxtest/EU_PM_CUBE02","EUPM_Mittel3_Cube",Datenstand,"Alle Beteiligungen","Alle Koordinatoren","Alle Unternehmensgrößen","-2","Alle Organisationstypen",28,"Alle Expertevaluierungsstatus",$A21,"-2",1,-2,"Alle","-2",$B21,E$7)</f>
        <v>29</v>
      </c>
      <c r="F21" s="395">
        <f ca="1">_xll.PALO.DATAC("jedoxtest/EU_PM_CUBE02","EUPM_Mittel3_Cube",Datenstand,"Alle Beteiligungen","Alle Koordinatoren","Alle Unternehmensgrößen","-2","Alle Organisationstypen",28,"Alle Expertevaluierungsstatus",$A21,"-2",1,-2,"Alle","-2",$B21,F$7)</f>
        <v>0</v>
      </c>
      <c r="G21" s="395">
        <f ca="1">_xll.PALO.DATAC("jedoxtest/EU_PM_CUBE02","EUPM_Mittel3_Cube",Datenstand,"Alle Beteiligungen","Alle Koordinatoren","Alle Unternehmensgrößen","-2","Alle Organisationstypen",28,"Alle Expertevaluierungsstatus",$A21,"-2",1,-2,"Alle","-2",$B21,G$7)</f>
        <v>13592666.01</v>
      </c>
    </row>
    <row r="22" spans="1:7" s="40" customFormat="1" ht="30">
      <c r="A22" s="522" t="s">
        <v>145</v>
      </c>
      <c r="B22" s="402">
        <v>100004</v>
      </c>
      <c r="D22" s="400" t="str">
        <f ca="1">_xll.PALO.DATA("jedoxtest/EU_PM_CUBE02","#_Destination","Bezeichnung",$B22)</f>
        <v>Maintaining an innovative, sustainable and globally competitive health industry</v>
      </c>
      <c r="E22" s="395">
        <f ca="1">_xll.PALO.DATAC("jedoxtest/EU_PM_CUBE02","EUPM_Mittel3_Cube",Datenstand,"Alle Beteiligungen","Alle Koordinatoren","Alle Unternehmensgrößen","-2","Alle Organisationstypen",28,"Alle Expertevaluierungsstatus",$A22,"-2",1,-2,"Alle","-2",$B22,E$7)</f>
        <v>15</v>
      </c>
      <c r="F22" s="395">
        <f ca="1">_xll.PALO.DATAC("jedoxtest/EU_PM_CUBE02","EUPM_Mittel3_Cube",Datenstand,"Alle Beteiligungen","Alle Koordinatoren","Alle Unternehmensgrößen","-2","Alle Organisationstypen",28,"Alle Expertevaluierungsstatus",$A22,"-2",1,-2,"Alle","-2",$B22,F$7)</f>
        <v>0</v>
      </c>
      <c r="G22" s="395">
        <f ca="1">_xll.PALO.DATAC("jedoxtest/EU_PM_CUBE02","EUPM_Mittel3_Cube",Datenstand,"Alle Beteiligungen","Alle Koordinatoren","Alle Unternehmensgrößen","-2","Alle Organisationstypen",28,"Alle Expertevaluierungsstatus",$A22,"-2",1,-2,"Alle","-2",$B22,G$7)</f>
        <v>5664692.8399999999</v>
      </c>
    </row>
    <row r="23" spans="1:7" s="40" customFormat="1">
      <c r="A23" s="522" t="s">
        <v>145</v>
      </c>
      <c r="B23" s="402">
        <v>100005</v>
      </c>
      <c r="D23" s="400" t="str">
        <f ca="1">_xll.PALO.DATA("jedoxtest/EU_PM_CUBE02","#_Destination","Bezeichnung",$B23)</f>
        <v>Staying healthy in a rapidly changing society</v>
      </c>
      <c r="E23" s="395">
        <f ca="1">_xll.PALO.DATAC("jedoxtest/EU_PM_CUBE02","EUPM_Mittel3_Cube",Datenstand,"Alle Beteiligungen","Alle Koordinatoren","Alle Unternehmensgrößen","-2","Alle Organisationstypen",28,"Alle Expertevaluierungsstatus",$A23,"-2",1,-2,"Alle","-2",$B23,E$7)</f>
        <v>14</v>
      </c>
      <c r="F23" s="395">
        <f ca="1">_xll.PALO.DATAC("jedoxtest/EU_PM_CUBE02","EUPM_Mittel3_Cube",Datenstand,"Alle Beteiligungen","Alle Koordinatoren","Alle Unternehmensgrößen","-2","Alle Organisationstypen",28,"Alle Expertevaluierungsstatus",$A23,"-2",1,-2,"Alle","-2",$B23,F$7)</f>
        <v>2</v>
      </c>
      <c r="G23" s="395">
        <f ca="1">_xll.PALO.DATAC("jedoxtest/EU_PM_CUBE02","EUPM_Mittel3_Cube",Datenstand,"Alle Beteiligungen","Alle Koordinatoren","Alle Unternehmensgrößen","-2","Alle Organisationstypen",28,"Alle Expertevaluierungsstatus",$A23,"-2",1,-2,"Alle","-2",$B23,G$7)</f>
        <v>9059515.25</v>
      </c>
    </row>
    <row r="24" spans="1:7" s="40" customFormat="1" ht="30">
      <c r="A24" s="522" t="s">
        <v>145</v>
      </c>
      <c r="B24" s="402">
        <v>100006</v>
      </c>
      <c r="D24" s="527" t="str">
        <f ca="1">_xll.PALO.DATA("jedoxtest/EU_PM_CUBE02","#_Destination","Bezeichnung",$B24)</f>
        <v>Unlocking the full potential of new tools, technologies and digital solutions for a healthy society</v>
      </c>
      <c r="E24" s="409">
        <f ca="1">_xll.PALO.DATAC("jedoxtest/EU_PM_CUBE02","EUPM_Mittel3_Cube",Datenstand,"Alle Beteiligungen","Alle Koordinatoren","Alle Unternehmensgrößen","-2","Alle Organisationstypen",28,"Alle Expertevaluierungsstatus",$A24,"-2",1,-2,"Alle","-2",$B24,E$7)</f>
        <v>35</v>
      </c>
      <c r="F24" s="409">
        <f ca="1">_xll.PALO.DATAC("jedoxtest/EU_PM_CUBE02","EUPM_Mittel3_Cube",Datenstand,"Alle Beteiligungen","Alle Koordinatoren","Alle Unternehmensgrößen","-2","Alle Organisationstypen",28,"Alle Expertevaluierungsstatus",$A24,"-2",1,-2,"Alle","-2",$B24,F$7)</f>
        <v>3</v>
      </c>
      <c r="G24" s="409">
        <f ca="1">_xll.PALO.DATAC("jedoxtest/EU_PM_CUBE02","EUPM_Mittel3_Cube",Datenstand,"Alle Beteiligungen","Alle Koordinatoren","Alle Unternehmensgrößen","-2","Alle Organisationstypen",28,"Alle Expertevaluierungsstatus",$A24,"-2",1,-2,"Alle","-2",$B24,G$7)</f>
        <v>29354944.949999999</v>
      </c>
    </row>
    <row r="25" spans="1:7" customFormat="1">
      <c r="A25" s="536" t="s">
        <v>145</v>
      </c>
      <c r="B25" s="402">
        <v>100007</v>
      </c>
      <c r="D25" s="400" t="str">
        <f ca="1">_xll.PALO.DATA("jedoxtest/EU_PM_CUBE02","#_Destination","Bezeichnung",$B25)</f>
        <v>rest of CL1</v>
      </c>
      <c r="E25" s="395">
        <f ca="1">_xll.PALO.DATAC("jedoxtest/EU_PM_CUBE02","EUPM_Mittel3_Cube",Datenstand,"Alle Beteiligungen","Alle Koordinatoren","Alle Unternehmensgrößen","-2","Alle Organisationstypen",28,"Alle Expertevaluierungsstatus",$A25,"-2",1,-2,"Alle","-2",$B25,E$7)</f>
        <v>3</v>
      </c>
      <c r="F25" s="395">
        <f ca="1">_xll.PALO.DATAC("jedoxtest/EU_PM_CUBE02","EUPM_Mittel3_Cube",Datenstand,"Alle Beteiligungen","Alle Koordinatoren","Alle Unternehmensgrößen","-2","Alle Organisationstypen",28,"Alle Expertevaluierungsstatus",$A25,"-2",1,-2,"Alle","-2",$B25,F$7)</f>
        <v>0</v>
      </c>
      <c r="G25" s="395">
        <f ca="1">_xll.PALO.DATAC("jedoxtest/EU_PM_CUBE02","EUPM_Mittel3_Cube",Datenstand,"Alle Beteiligungen","Alle Koordinatoren","Alle Unternehmensgrößen","-2","Alle Organisationstypen",28,"Alle Expertevaluierungsstatus",$A25,"-2",1,-2,"Alle","-2",$B25,G$7)</f>
        <v>2791988.75</v>
      </c>
    </row>
    <row r="26" spans="1:7" s="40" customFormat="1">
      <c r="E26" s="404"/>
      <c r="F26" s="404"/>
      <c r="G26" s="404"/>
    </row>
    <row r="27" spans="1:7" s="40" customFormat="1">
      <c r="E27" s="404"/>
      <c r="F27" s="404"/>
      <c r="G27" s="404"/>
    </row>
    <row r="28" spans="1:7" s="40" customFormat="1" ht="15.75">
      <c r="A28" s="522" t="s">
        <v>146</v>
      </c>
      <c r="B28" s="402">
        <v>1000002</v>
      </c>
      <c r="D28" s="281" t="str">
        <f ca="1">E11&amp;" "&amp;D11</f>
        <v>Cluster 2 Culture, creativity and inclusive society</v>
      </c>
      <c r="E28" s="399">
        <f ca="1">_xll.PALO.DATAC("jedoxtest/EU_PM_CUBE02","EUPM_Mittel3_Cube",Datenstand,"Alle Beteiligungen","Alle Koordinatoren","Alle Unternehmensgrößen","-2","Alle Organisationstypen",28,"Alle Expertevaluierungsstatus",$A28,"-2",1,-2,"Alle","-2",$B28,E$7)</f>
        <v>168</v>
      </c>
      <c r="F28" s="399">
        <f ca="1">_xll.PALO.DATAC("jedoxtest/EU_PM_CUBE02","EUPM_Mittel3_Cube",Datenstand,"Alle Beteiligungen","Alle Koordinatoren","Alle Unternehmensgrößen","-2","Alle Organisationstypen",28,"Alle Expertevaluierungsstatus",$A28,"-2",1,-2,"Alle","-2",$B28,F$7)</f>
        <v>21</v>
      </c>
      <c r="G28" s="399">
        <f ca="1">_xll.PALO.DATAC("jedoxtest/EU_PM_CUBE02","EUPM_Mittel3_Cube",Datenstand,"Alle Beteiligungen","Alle Koordinatoren","Alle Unternehmensgrößen","-2","Alle Organisationstypen",28,"Alle Expertevaluierungsstatus",$A28,"-2",1,-2,"Alle","-2",$B28,G$7)</f>
        <v>56238860.43</v>
      </c>
    </row>
    <row r="29" spans="1:7" s="40" customFormat="1">
      <c r="A29" s="522" t="s">
        <v>146</v>
      </c>
      <c r="B29" s="402">
        <v>100008</v>
      </c>
      <c r="D29" s="400" t="str">
        <f ca="1">_xll.PALO.DATA("jedoxtest/EU_PM_CUBE02","#_Destination","Bezeichnung",$B29)</f>
        <v>Innovative research on democracy and governance</v>
      </c>
      <c r="E29" s="395">
        <f ca="1">_xll.PALO.DATAC("jedoxtest/EU_PM_CUBE02","EUPM_Mittel3_Cube",Datenstand,"Alle Beteiligungen","Alle Koordinatoren","Alle Unternehmensgrößen","-2","Alle Organisationstypen",28,"Alle Expertevaluierungsstatus",$A29,"-2",1,-2,"Alle","-2",$B29,E$7)</f>
        <v>55</v>
      </c>
      <c r="F29" s="395">
        <f ca="1">_xll.PALO.DATAC("jedoxtest/EU_PM_CUBE02","EUPM_Mittel3_Cube",Datenstand,"Alle Beteiligungen","Alle Koordinatoren","Alle Unternehmensgrößen","-2","Alle Organisationstypen",28,"Alle Expertevaluierungsstatus",$A29,"-2",1,-2,"Alle","-2",$B29,F$7)</f>
        <v>11</v>
      </c>
      <c r="G29" s="395">
        <f ca="1">_xll.PALO.DATAC("jedoxtest/EU_PM_CUBE02","EUPM_Mittel3_Cube",Datenstand,"Alle Beteiligungen","Alle Koordinatoren","Alle Unternehmensgrößen","-2","Alle Organisationstypen",28,"Alle Expertevaluierungsstatus",$A29,"-2",1,-2,"Alle","-2",$B29,G$7)</f>
        <v>19489581.239999998</v>
      </c>
    </row>
    <row r="30" spans="1:7" s="40" customFormat="1" ht="30">
      <c r="A30" s="522" t="s">
        <v>146</v>
      </c>
      <c r="B30" s="402">
        <v>100009</v>
      </c>
      <c r="D30" s="527" t="str">
        <f ca="1">_xll.PALO.DATA("jedoxtest/EU_PM_CUBE02","#_Destination","Bezeichnung",$B30)</f>
        <v>Innovative research on the European cultural heritage and the cultural and creative industries</v>
      </c>
      <c r="E30" s="409">
        <f ca="1">_xll.PALO.DATAC("jedoxtest/EU_PM_CUBE02","EUPM_Mittel3_Cube",Datenstand,"Alle Beteiligungen","Alle Koordinatoren","Alle Unternehmensgrößen","-2","Alle Organisationstypen",28,"Alle Expertevaluierungsstatus",$A30,"-2",1,-2,"Alle","-2",$B30,E$7)</f>
        <v>49</v>
      </c>
      <c r="F30" s="409">
        <f ca="1">_xll.PALO.DATAC("jedoxtest/EU_PM_CUBE02","EUPM_Mittel3_Cube",Datenstand,"Alle Beteiligungen","Alle Koordinatoren","Alle Unternehmensgrößen","-2","Alle Organisationstypen",28,"Alle Expertevaluierungsstatus",$A30,"-2",1,-2,"Alle","-2",$B30,F$7)</f>
        <v>5</v>
      </c>
      <c r="G30" s="409">
        <f ca="1">_xll.PALO.DATAC("jedoxtest/EU_PM_CUBE02","EUPM_Mittel3_Cube",Datenstand,"Alle Beteiligungen","Alle Koordinatoren","Alle Unternehmensgrößen","-2","Alle Organisationstypen",28,"Alle Expertevaluierungsstatus",$A30,"-2",1,-2,"Alle","-2",$B30,G$7)</f>
        <v>14481044.09</v>
      </c>
    </row>
    <row r="31" spans="1:7" s="328" customFormat="1">
      <c r="A31" s="536" t="s">
        <v>146</v>
      </c>
      <c r="B31" s="402">
        <v>100010</v>
      </c>
      <c r="D31" s="400" t="str">
        <f ca="1">_xll.PALO.DATA("jedoxtest/EU_PM_CUBE02","#_Destination","Bezeichnung",$B31)</f>
        <v>Innovative research on social and economic transformations</v>
      </c>
      <c r="E31" s="395">
        <f ca="1">_xll.PALO.DATAC("jedoxtest/EU_PM_CUBE02","EUPM_Mittel3_Cube",Datenstand,"Alle Beteiligungen","Alle Koordinatoren","Alle Unternehmensgrößen","-2","Alle Organisationstypen",28,"Alle Expertevaluierungsstatus",$A31,"-2",1,-2,"Alle","-2",$B31,E$7)</f>
        <v>64</v>
      </c>
      <c r="F31" s="395">
        <f ca="1">_xll.PALO.DATAC("jedoxtest/EU_PM_CUBE02","EUPM_Mittel3_Cube",Datenstand,"Alle Beteiligungen","Alle Koordinatoren","Alle Unternehmensgrößen","-2","Alle Organisationstypen",28,"Alle Expertevaluierungsstatus",$A31,"-2",1,-2,"Alle","-2",$B31,F$7)</f>
        <v>5</v>
      </c>
      <c r="G31" s="395">
        <f ca="1">_xll.PALO.DATAC("jedoxtest/EU_PM_CUBE02","EUPM_Mittel3_Cube",Datenstand,"Alle Beteiligungen","Alle Koordinatoren","Alle Unternehmensgrößen","-2","Alle Organisationstypen",28,"Alle Expertevaluierungsstatus",$A31,"-2",1,-2,"Alle","-2",$B31,G$7)</f>
        <v>22268235.100000001</v>
      </c>
    </row>
    <row r="32" spans="1:7" customFormat="1">
      <c r="A32" s="536" t="s">
        <v>146</v>
      </c>
      <c r="B32" s="402">
        <v>100011</v>
      </c>
      <c r="D32" s="400" t="str">
        <f ca="1">_xll.PALO.DATA("jedoxtest/EU_PM_CUBE02","#_Destination","Bezeichnung",$B32)</f>
        <v>rest of CL2</v>
      </c>
      <c r="E32" s="395">
        <f ca="1">_xll.PALO.DATAC("jedoxtest/EU_PM_CUBE02","EUPM_Mittel3_Cube",Datenstand,"Alle Beteiligungen","Alle Koordinatoren","Alle Unternehmensgrößen","-2","Alle Organisationstypen",28,"Alle Expertevaluierungsstatus",$A32,"-2",1,-2,"Alle","-2",$B32,E$7)</f>
        <v>0</v>
      </c>
      <c r="F32" s="395">
        <f ca="1">_xll.PALO.DATAC("jedoxtest/EU_PM_CUBE02","EUPM_Mittel3_Cube",Datenstand,"Alle Beteiligungen","Alle Koordinatoren","Alle Unternehmensgrößen","-2","Alle Organisationstypen",28,"Alle Expertevaluierungsstatus",$A32,"-2",1,-2,"Alle","-2",$B32,F$7)</f>
        <v>0</v>
      </c>
      <c r="G32" s="395">
        <f ca="1">_xll.PALO.DATAC("jedoxtest/EU_PM_CUBE02","EUPM_Mittel3_Cube",Datenstand,"Alle Beteiligungen","Alle Koordinatoren","Alle Unternehmensgrößen","-2","Alle Organisationstypen",28,"Alle Expertevaluierungsstatus",$A32,"-2",1,-2,"Alle","-2",$B32,G$7)</f>
        <v>0</v>
      </c>
    </row>
    <row r="33" spans="1:7" customFormat="1">
      <c r="A33" s="536"/>
      <c r="B33" s="402"/>
      <c r="D33" s="538"/>
      <c r="E33" s="403"/>
      <c r="F33" s="403"/>
      <c r="G33" s="403"/>
    </row>
    <row r="34" spans="1:7" s="328" customFormat="1">
      <c r="E34" s="405"/>
      <c r="F34" s="405"/>
      <c r="G34" s="405"/>
    </row>
    <row r="35" spans="1:7" s="328" customFormat="1" ht="15.75">
      <c r="A35" s="44" t="s">
        <v>147</v>
      </c>
      <c r="B35" s="402">
        <v>1000003</v>
      </c>
      <c r="D35" s="281" t="str">
        <f ca="1">E12&amp;" "&amp;D12</f>
        <v>Cluster 3 Civil Security for Society</v>
      </c>
      <c r="E35" s="399">
        <f ca="1">_xll.PALO.DATAC("jedoxtest/EU_PM_CUBE02","EUPM_Mittel3_Cube",Datenstand,"Alle Beteiligungen","Alle Koordinatoren","Alle Unternehmensgrößen","-2","Alle Organisationstypen",28,"Alle Expertevaluierungsstatus",$A35,"-2",1,-2,"Alle","-2",$B35,E$7)</f>
        <v>88</v>
      </c>
      <c r="F35" s="399">
        <f ca="1">_xll.PALO.DATAC("jedoxtest/EU_PM_CUBE02","EUPM_Mittel3_Cube",Datenstand,"Alle Beteiligungen","Alle Koordinatoren","Alle Unternehmensgrößen","-2","Alle Organisationstypen",28,"Alle Expertevaluierungsstatus",$A35,"-2",1,-2,"Alle","-2",$B35,F$7)</f>
        <v>7</v>
      </c>
      <c r="G35" s="399">
        <f ca="1">_xll.PALO.DATAC("jedoxtest/EU_PM_CUBE02","EUPM_Mittel3_Cube",Datenstand,"Alle Beteiligungen","Alle Koordinatoren","Alle Unternehmensgrößen","-2","Alle Organisationstypen",28,"Alle Expertevaluierungsstatus",$A35,"-2",1,-2,"Alle","-2",$B35,G$7)</f>
        <v>30921667.23</v>
      </c>
    </row>
    <row r="36" spans="1:7" s="328" customFormat="1">
      <c r="A36" s="44" t="s">
        <v>147</v>
      </c>
      <c r="B36" s="402">
        <v>100012</v>
      </c>
      <c r="D36" s="400" t="str">
        <f ca="1">_xll.PALO.DATA("jedoxtest/EU_PM_CUBE02","#_Destination","Bezeichnung",$B36)</f>
        <v>Effective management of EU external borders</v>
      </c>
      <c r="E36" s="395">
        <f ca="1">_xll.PALO.DATAC("jedoxtest/EU_PM_CUBE02","EUPM_Mittel3_Cube",Datenstand,"Alle Beteiligungen","Alle Koordinatoren","Alle Unternehmensgrößen","-2","Alle Organisationstypen",28,"Alle Expertevaluierungsstatus",$A36,"-2",1,-2,"Alle","-2",$B36,E$7)</f>
        <v>9</v>
      </c>
      <c r="F36" s="395">
        <f ca="1">_xll.PALO.DATAC("jedoxtest/EU_PM_CUBE02","EUPM_Mittel3_Cube",Datenstand,"Alle Beteiligungen","Alle Koordinatoren","Alle Unternehmensgrößen","-2","Alle Organisationstypen",28,"Alle Expertevaluierungsstatus",$A36,"-2",1,-2,"Alle","-2",$B36,F$7)</f>
        <v>3</v>
      </c>
      <c r="G36" s="395">
        <f ca="1">_xll.PALO.DATAC("jedoxtest/EU_PM_CUBE02","EUPM_Mittel3_Cube",Datenstand,"Alle Beteiligungen","Alle Koordinatoren","Alle Unternehmensgrößen","-2","Alle Organisationstypen",28,"Alle Expertevaluierungsstatus",$A36,"-2",1,-2,"Alle","-2",$B36,G$7)</f>
        <v>4886438.3499999996</v>
      </c>
    </row>
    <row r="37" spans="1:7" s="328" customFormat="1">
      <c r="A37" s="44" t="s">
        <v>147</v>
      </c>
      <c r="B37" s="402">
        <v>100013</v>
      </c>
      <c r="D37" s="400" t="str">
        <f ca="1">_xll.PALO.DATA("jedoxtest/EU_PM_CUBE02","#_Destination","Bezeichnung",$B37)</f>
        <v>Increased cybersecurity</v>
      </c>
      <c r="E37" s="395">
        <f ca="1">_xll.PALO.DATAC("jedoxtest/EU_PM_CUBE02","EUPM_Mittel3_Cube",Datenstand,"Alle Beteiligungen","Alle Koordinatoren","Alle Unternehmensgrößen","-2","Alle Organisationstypen",28,"Alle Expertevaluierungsstatus",$A37,"-2",1,-2,"Alle","-2",$B37,E$7)</f>
        <v>26</v>
      </c>
      <c r="F37" s="395">
        <f ca="1">_xll.PALO.DATAC("jedoxtest/EU_PM_CUBE02","EUPM_Mittel3_Cube",Datenstand,"Alle Beteiligungen","Alle Koordinatoren","Alle Unternehmensgrößen","-2","Alle Organisationstypen",28,"Alle Expertevaluierungsstatus",$A37,"-2",1,-2,"Alle","-2",$B37,F$7)</f>
        <v>2</v>
      </c>
      <c r="G37" s="395">
        <f ca="1">_xll.PALO.DATAC("jedoxtest/EU_PM_CUBE02","EUPM_Mittel3_Cube",Datenstand,"Alle Beteiligungen","Alle Koordinatoren","Alle Unternehmensgrößen","-2","Alle Organisationstypen",28,"Alle Expertevaluierungsstatus",$A37,"-2",1,-2,"Alle","-2",$B37,G$7)</f>
        <v>9545779.3200000003</v>
      </c>
    </row>
    <row r="38" spans="1:7" s="328" customFormat="1">
      <c r="A38" s="44" t="s">
        <v>147</v>
      </c>
      <c r="B38" s="402">
        <v>100014</v>
      </c>
      <c r="D38" s="400" t="str">
        <f ca="1">_xll.PALO.DATA("jedoxtest/EU_PM_CUBE02","#_Destination","Bezeichnung",$B38)</f>
        <v>Disaster-resilient society for Europe</v>
      </c>
      <c r="E38" s="395">
        <f ca="1">_xll.PALO.DATAC("jedoxtest/EU_PM_CUBE02","EUPM_Mittel3_Cube",Datenstand,"Alle Beteiligungen","Alle Koordinatoren","Alle Unternehmensgrößen","-2","Alle Organisationstypen",28,"Alle Expertevaluierungsstatus",$A38,"-2",1,-2,"Alle","-2",$B38,E$7)</f>
        <v>30</v>
      </c>
      <c r="F38" s="395">
        <f ca="1">_xll.PALO.DATAC("jedoxtest/EU_PM_CUBE02","EUPM_Mittel3_Cube",Datenstand,"Alle Beteiligungen","Alle Koordinatoren","Alle Unternehmensgrößen","-2","Alle Organisationstypen",28,"Alle Expertevaluierungsstatus",$A38,"-2",1,-2,"Alle","-2",$B38,F$7)</f>
        <v>1</v>
      </c>
      <c r="G38" s="395">
        <f ca="1">_xll.PALO.DATAC("jedoxtest/EU_PM_CUBE02","EUPM_Mittel3_Cube",Datenstand,"Alle Beteiligungen","Alle Koordinatoren","Alle Unternehmensgrößen","-2","Alle Organisationstypen",28,"Alle Expertevaluierungsstatus",$A38,"-2",1,-2,"Alle","-2",$B38,G$7)</f>
        <v>9840888.3100000005</v>
      </c>
    </row>
    <row r="39" spans="1:7" s="328" customFormat="1" ht="30">
      <c r="A39" s="44" t="s">
        <v>147</v>
      </c>
      <c r="B39" s="402">
        <v>100015</v>
      </c>
      <c r="D39" s="527" t="str">
        <f ca="1">_xll.PALO.DATA("jedoxtest/EU_PM_CUBE02","#_Destination","Bezeichnung",$B39)</f>
        <v>Better protect the EU and its citizens against crime and terrorism</v>
      </c>
      <c r="E39" s="395">
        <f ca="1">_xll.PALO.DATAC("jedoxtest/EU_PM_CUBE02","EUPM_Mittel3_Cube",Datenstand,"Alle Beteiligungen","Alle Koordinatoren","Alle Unternehmensgrößen","-2","Alle Organisationstypen",28,"Alle Expertevaluierungsstatus",$A39,"-2",1,-2,"Alle","-2",$B39,E$7)</f>
        <v>16</v>
      </c>
      <c r="F39" s="395">
        <f ca="1">_xll.PALO.DATAC("jedoxtest/EU_PM_CUBE02","EUPM_Mittel3_Cube",Datenstand,"Alle Beteiligungen","Alle Koordinatoren","Alle Unternehmensgrößen","-2","Alle Organisationstypen",28,"Alle Expertevaluierungsstatus",$A39,"-2",1,-2,"Alle","-2",$B39,F$7)</f>
        <v>0</v>
      </c>
      <c r="G39" s="395">
        <f ca="1">_xll.PALO.DATAC("jedoxtest/EU_PM_CUBE02","EUPM_Mittel3_Cube",Datenstand,"Alle Beteiligungen","Alle Koordinatoren","Alle Unternehmensgrößen","-2","Alle Organisationstypen",28,"Alle Expertevaluierungsstatus",$A39,"-2",1,-2,"Alle","-2",$B39,G$7)</f>
        <v>4611405.5</v>
      </c>
    </row>
    <row r="40" spans="1:7" s="328" customFormat="1">
      <c r="A40" s="44" t="s">
        <v>147</v>
      </c>
      <c r="B40" s="402">
        <v>100016</v>
      </c>
      <c r="D40" s="400" t="str">
        <f ca="1">_xll.PALO.DATA("jedoxtest/EU_PM_CUBE02","#_Destination","Bezeichnung",$B40)</f>
        <v>Resilient infrastructure</v>
      </c>
      <c r="E40" s="395">
        <f ca="1">_xll.PALO.DATAC("jedoxtest/EU_PM_CUBE02","EUPM_Mittel3_Cube",Datenstand,"Alle Beteiligungen","Alle Koordinatoren","Alle Unternehmensgrößen","-2","Alle Organisationstypen",28,"Alle Expertevaluierungsstatus",$A40,"-2",1,-2,"Alle","-2",$B40,E$7)</f>
        <v>2</v>
      </c>
      <c r="F40" s="395">
        <f ca="1">_xll.PALO.DATAC("jedoxtest/EU_PM_CUBE02","EUPM_Mittel3_Cube",Datenstand,"Alle Beteiligungen","Alle Koordinatoren","Alle Unternehmensgrößen","-2","Alle Organisationstypen",28,"Alle Expertevaluierungsstatus",$A40,"-2",1,-2,"Alle","-2",$B40,F$7)</f>
        <v>0</v>
      </c>
      <c r="G40" s="395">
        <f ca="1">_xll.PALO.DATAC("jedoxtest/EU_PM_CUBE02","EUPM_Mittel3_Cube",Datenstand,"Alle Beteiligungen","Alle Koordinatoren","Alle Unternehmensgrößen","-2","Alle Organisationstypen",28,"Alle Expertevaluierungsstatus",$A40,"-2",1,-2,"Alle","-2",$B40,G$7)</f>
        <v>1232250</v>
      </c>
    </row>
    <row r="41" spans="1:7" s="328" customFormat="1">
      <c r="A41" s="44" t="s">
        <v>147</v>
      </c>
      <c r="B41" s="402">
        <v>100017</v>
      </c>
      <c r="D41" s="400" t="str">
        <f ca="1">_xll.PALO.DATA("jedoxtest/EU_PM_CUBE02","#_Destination","Bezeichnung",$B41)</f>
        <v>Strengthened security research and innovation</v>
      </c>
      <c r="E41" s="395">
        <f ca="1">_xll.PALO.DATAC("jedoxtest/EU_PM_CUBE02","EUPM_Mittel3_Cube",Datenstand,"Alle Beteiligungen","Alle Koordinatoren","Alle Unternehmensgrößen","-2","Alle Organisationstypen",28,"Alle Expertevaluierungsstatus",$A41,"-2",1,-2,"Alle","-2",$B41,E$7)</f>
        <v>5</v>
      </c>
      <c r="F41" s="395">
        <f ca="1">_xll.PALO.DATAC("jedoxtest/EU_PM_CUBE02","EUPM_Mittel3_Cube",Datenstand,"Alle Beteiligungen","Alle Koordinatoren","Alle Unternehmensgrößen","-2","Alle Organisationstypen",28,"Alle Expertevaluierungsstatus",$A41,"-2",1,-2,"Alle","-2",$B41,F$7)</f>
        <v>1</v>
      </c>
      <c r="G41" s="395">
        <f ca="1">_xll.PALO.DATAC("jedoxtest/EU_PM_CUBE02","EUPM_Mittel3_Cube",Datenstand,"Alle Beteiligungen","Alle Koordinatoren","Alle Unternehmensgrößen","-2","Alle Organisationstypen",28,"Alle Expertevaluierungsstatus",$A41,"-2",1,-2,"Alle","-2",$B41,G$7)</f>
        <v>804905.75</v>
      </c>
    </row>
    <row r="42" spans="1:7" s="328" customFormat="1">
      <c r="A42" s="44" t="s">
        <v>147</v>
      </c>
      <c r="B42" s="402">
        <v>100018</v>
      </c>
      <c r="D42" s="400" t="str">
        <f ca="1">_xll.PALO.DATA("jedoxtest/EU_PM_CUBE02","#_Destination","Bezeichnung",$B42)</f>
        <v>rest of CL3</v>
      </c>
      <c r="E42" s="395">
        <f ca="1">_xll.PALO.DATAC("jedoxtest/EU_PM_CUBE02","EUPM_Mittel3_Cube",Datenstand,"Alle Beteiligungen","Alle Koordinatoren","Alle Unternehmensgrößen","-2","Alle Organisationstypen",28,"Alle Expertevaluierungsstatus",$A42,"-2",1,-2,"Alle","-2",$B42,E$7)</f>
        <v>0</v>
      </c>
      <c r="F42" s="395">
        <f ca="1">_xll.PALO.DATAC("jedoxtest/EU_PM_CUBE02","EUPM_Mittel3_Cube",Datenstand,"Alle Beteiligungen","Alle Koordinatoren","Alle Unternehmensgrößen","-2","Alle Organisationstypen",28,"Alle Expertevaluierungsstatus",$A42,"-2",1,-2,"Alle","-2",$B42,F$7)</f>
        <v>0</v>
      </c>
      <c r="G42" s="395">
        <f ca="1">_xll.PALO.DATAC("jedoxtest/EU_PM_CUBE02","EUPM_Mittel3_Cube",Datenstand,"Alle Beteiligungen","Alle Koordinatoren","Alle Unternehmensgrößen","-2","Alle Organisationstypen",28,"Alle Expertevaluierungsstatus",$A42,"-2",1,-2,"Alle","-2",$B42,G$7)</f>
        <v>0</v>
      </c>
    </row>
    <row r="43" spans="1:7" s="328" customFormat="1" hidden="1">
      <c r="B43" s="402"/>
      <c r="D43" s="433"/>
      <c r="E43" s="403"/>
      <c r="F43" s="403"/>
      <c r="G43" s="403"/>
    </row>
    <row r="44" spans="1:7" s="328" customFormat="1">
      <c r="B44" s="402"/>
      <c r="E44" s="405"/>
      <c r="F44" s="405"/>
      <c r="G44" s="405"/>
    </row>
    <row r="45" spans="1:7" s="328" customFormat="1">
      <c r="B45" s="402"/>
      <c r="E45" s="405"/>
      <c r="F45" s="405"/>
      <c r="G45" s="405"/>
    </row>
    <row r="46" spans="1:7" s="328" customFormat="1" ht="15.75">
      <c r="A46" s="522" t="s">
        <v>148</v>
      </c>
      <c r="B46" s="402">
        <v>1000004</v>
      </c>
      <c r="D46" s="281" t="str">
        <f ca="1">E13&amp;" "&amp;D13</f>
        <v>Cluster 4 Digital, Industry and Space</v>
      </c>
      <c r="E46" s="399">
        <f ca="1">_xll.PALO.DATAC("jedoxtest/EU_PM_CUBE02","EUPM_Mittel3_Cube",Datenstand,"Alle Beteiligungen","Alle Koordinatoren","Alle Unternehmensgrößen","-2","Alle Organisationstypen",28,"Alle Expertevaluierungsstatus",$A46,"-2",1,-2,"Alle","-2",$B46,E$7)</f>
        <v>494</v>
      </c>
      <c r="F46" s="399">
        <f ca="1">_xll.PALO.DATAC("jedoxtest/EU_PM_CUBE02","EUPM_Mittel3_Cube",Datenstand,"Alle Beteiligungen","Alle Koordinatoren","Alle Unternehmensgrößen","-2","Alle Organisationstypen",28,"Alle Expertevaluierungsstatus",$A46,"-2",1,-2,"Alle","-2",$B46,F$7)</f>
        <v>32</v>
      </c>
      <c r="G46" s="399">
        <f ca="1">_xll.PALO.DATAC("jedoxtest/EU_PM_CUBE02","EUPM_Mittel3_Cube",Datenstand,"Alle Beteiligungen","Alle Koordinatoren","Alle Unternehmensgrößen","-2","Alle Organisationstypen",28,"Alle Expertevaluierungsstatus",$A46,"-2",1,-2,"Alle","-2",$B46,G$7)</f>
        <v>221753007.91</v>
      </c>
    </row>
    <row r="47" spans="1:7" s="328" customFormat="1">
      <c r="A47" s="522" t="s">
        <v>148</v>
      </c>
      <c r="B47" s="402">
        <v>100019</v>
      </c>
      <c r="D47" s="400" t="str">
        <f ca="1">_xll.PALO.DATA("jedoxtest/EU_PM_CUBE02","#_Destination","Bezeichnung",$B47)</f>
        <v>In-Orbit Demonstration and Validation</v>
      </c>
      <c r="E47" s="395">
        <f ca="1">_xll.PALO.DATAC("jedoxtest/EU_PM_CUBE02","EUPM_Mittel3_Cube",Datenstand,"Alle Beteiligungen","Alle Koordinatoren","Alle Unternehmensgrößen","-2","Alle Organisationstypen",28,"Alle Expertevaluierungsstatus",$A47,"-2",1,-2,"Alle","-2",$B47,E$7)</f>
        <v>0</v>
      </c>
      <c r="F47" s="395">
        <f ca="1">_xll.PALO.DATAC("jedoxtest/EU_PM_CUBE02","EUPM_Mittel3_Cube",Datenstand,"Alle Beteiligungen","Alle Koordinatoren","Alle Unternehmensgrößen","-2","Alle Organisationstypen",28,"Alle Expertevaluierungsstatus",$A47,"-2",1,-2,"Alle","-2",$B47,F$7)</f>
        <v>0</v>
      </c>
      <c r="G47" s="395">
        <f ca="1">_xll.PALO.DATAC("jedoxtest/EU_PM_CUBE02","EUPM_Mittel3_Cube",Datenstand,"Alle Beteiligungen","Alle Koordinatoren","Alle Unternehmensgrößen","-2","Alle Organisationstypen",28,"Alle Expertevaluierungsstatus",$A47,"-2",1,-2,"Alle","-2",$B47,G$7)</f>
        <v>0</v>
      </c>
    </row>
    <row r="48" spans="1:7" s="328" customFormat="1">
      <c r="A48" s="522" t="s">
        <v>148</v>
      </c>
      <c r="B48" s="402">
        <v>100020</v>
      </c>
      <c r="D48" s="400" t="str">
        <f ca="1">_xll.PALO.DATA("jedoxtest/EU_PM_CUBE02","#_Destination","Bezeichnung",$B48)</f>
        <v>World leading data and computing technologies</v>
      </c>
      <c r="E48" s="395">
        <f ca="1">_xll.PALO.DATAC("jedoxtest/EU_PM_CUBE02","EUPM_Mittel3_Cube",Datenstand,"Alle Beteiligungen","Alle Koordinatoren","Alle Unternehmensgrößen","-2","Alle Organisationstypen",28,"Alle Expertevaluierungsstatus",$A48,"-2",1,-2,"Alle","-2",$B48,E$7)</f>
        <v>43</v>
      </c>
      <c r="F48" s="395">
        <f ca="1">_xll.PALO.DATAC("jedoxtest/EU_PM_CUBE02","EUPM_Mittel3_Cube",Datenstand,"Alle Beteiligungen","Alle Koordinatoren","Alle Unternehmensgrößen","-2","Alle Organisationstypen",28,"Alle Expertevaluierungsstatus",$A48,"-2",1,-2,"Alle","-2",$B48,F$7)</f>
        <v>1</v>
      </c>
      <c r="G48" s="395">
        <f ca="1">_xll.PALO.DATAC("jedoxtest/EU_PM_CUBE02","EUPM_Mittel3_Cube",Datenstand,"Alle Beteiligungen","Alle Koordinatoren","Alle Unternehmensgrößen","-2","Alle Organisationstypen",28,"Alle Expertevaluierungsstatus",$A48,"-2",1,-2,"Alle","-2",$B48,G$7)</f>
        <v>16388529.26</v>
      </c>
    </row>
    <row r="49" spans="1:7" s="328" customFormat="1" ht="30">
      <c r="A49" s="522" t="s">
        <v>148</v>
      </c>
      <c r="B49" s="402">
        <v>100021</v>
      </c>
      <c r="D49" s="527" t="str">
        <f ca="1">_xll.PALO.DATA("jedoxtest/EU_PM_CUBE02","#_Destination","Bezeichnung",$B49)</f>
        <v>Digital and emerging technologies for competitiveness and fit for the green deal</v>
      </c>
      <c r="E49" s="395">
        <f ca="1">_xll.PALO.DATAC("jedoxtest/EU_PM_CUBE02","EUPM_Mittel3_Cube",Datenstand,"Alle Beteiligungen","Alle Koordinatoren","Alle Unternehmensgrößen","-2","Alle Organisationstypen",28,"Alle Expertevaluierungsstatus",$A49,"-2",1,-2,"Alle","-2",$B49,E$7)</f>
        <v>102</v>
      </c>
      <c r="F49" s="395">
        <f ca="1">_xll.PALO.DATAC("jedoxtest/EU_PM_CUBE02","EUPM_Mittel3_Cube",Datenstand,"Alle Beteiligungen","Alle Koordinatoren","Alle Unternehmensgrößen","-2","Alle Organisationstypen",28,"Alle Expertevaluierungsstatus",$A49,"-2",1,-2,"Alle","-2",$B49,F$7)</f>
        <v>9</v>
      </c>
      <c r="G49" s="395">
        <f ca="1">_xll.PALO.DATAC("jedoxtest/EU_PM_CUBE02","EUPM_Mittel3_Cube",Datenstand,"Alle Beteiligungen","Alle Koordinatoren","Alle Unternehmensgrößen","-2","Alle Organisationstypen",28,"Alle Expertevaluierungsstatus",$A49,"-2",1,-2,"Alle","-2",$B49,G$7)</f>
        <v>42168456.700000003</v>
      </c>
    </row>
    <row r="50" spans="1:7" s="328" customFormat="1" ht="30">
      <c r="A50" s="536" t="s">
        <v>148</v>
      </c>
      <c r="B50" s="402">
        <v>100022</v>
      </c>
      <c r="D50" s="400" t="str">
        <f ca="1">_xll.PALO.DATA("jedoxtest/EU_PM_CUBE02","#_Destination","Bezeichnung",$B50)</f>
        <v>A human-centred and ethical development of digital and industrial technologies</v>
      </c>
      <c r="E50" s="395">
        <f ca="1">_xll.PALO.DATAC("jedoxtest/EU_PM_CUBE02","EUPM_Mittel3_Cube",Datenstand,"Alle Beteiligungen","Alle Koordinatoren","Alle Unternehmensgrößen","-2","Alle Organisationstypen",28,"Alle Expertevaluierungsstatus",$A50,"-2",1,-2,"Alle","-2",$B50,E$7)</f>
        <v>51</v>
      </c>
      <c r="F50" s="395">
        <f ca="1">_xll.PALO.DATAC("jedoxtest/EU_PM_CUBE02","EUPM_Mittel3_Cube",Datenstand,"Alle Beteiligungen","Alle Koordinatoren","Alle Unternehmensgrößen","-2","Alle Organisationstypen",28,"Alle Expertevaluierungsstatus",$A50,"-2",1,-2,"Alle","-2",$B50,F$7)</f>
        <v>5</v>
      </c>
      <c r="G50" s="395">
        <f ca="1">_xll.PALO.DATAC("jedoxtest/EU_PM_CUBE02","EUPM_Mittel3_Cube",Datenstand,"Alle Beteiligungen","Alle Koordinatoren","Alle Unternehmensgrößen","-2","Alle Organisationstypen",28,"Alle Expertevaluierungsstatus",$A50,"-2",1,-2,"Alle","-2",$B50,G$7)</f>
        <v>17985220.370000001</v>
      </c>
    </row>
    <row r="51" spans="1:7" s="328" customFormat="1">
      <c r="A51" s="536" t="s">
        <v>148</v>
      </c>
      <c r="B51" s="402">
        <v>100023</v>
      </c>
      <c r="D51" s="400" t="str">
        <f ca="1">_xll.PALO.DATA("jedoxtest/EU_PM_CUBE02","#_Destination","Bezeichnung",$B51)</f>
        <v>QUANTUM</v>
      </c>
      <c r="E51" s="395">
        <f ca="1">_xll.PALO.DATAC("jedoxtest/EU_PM_CUBE02","EUPM_Mittel3_Cube",Datenstand,"Alle Beteiligungen","Alle Koordinatoren","Alle Unternehmensgrößen","-2","Alle Organisationstypen",28,"Alle Expertevaluierungsstatus",$A51,"-2",1,-2,"Alle","-2",$B51,E$7)</f>
        <v>15</v>
      </c>
      <c r="F51" s="395">
        <f ca="1">_xll.PALO.DATAC("jedoxtest/EU_PM_CUBE02","EUPM_Mittel3_Cube",Datenstand,"Alle Beteiligungen","Alle Koordinatoren","Alle Unternehmensgrößen","-2","Alle Organisationstypen",28,"Alle Expertevaluierungsstatus",$A51,"-2",1,-2,"Alle","-2",$B51,F$7)</f>
        <v>1</v>
      </c>
      <c r="G51" s="395">
        <f ca="1">_xll.PALO.DATAC("jedoxtest/EU_PM_CUBE02","EUPM_Mittel3_Cube",Datenstand,"Alle Beteiligungen","Alle Koordinatoren","Alle Unternehmensgrößen","-2","Alle Organisationstypen",28,"Alle Expertevaluierungsstatus",$A51,"-2",1,-2,"Alle","-2",$B51,G$7)</f>
        <v>18034050.129999999</v>
      </c>
    </row>
    <row r="52" spans="1:7" s="328" customFormat="1" ht="30">
      <c r="A52" s="536" t="s">
        <v>148</v>
      </c>
      <c r="B52" s="402">
        <v>100024</v>
      </c>
      <c r="D52" s="400" t="str">
        <f ca="1">_xll.PALO.DATA("jedoxtest/EU_PM_CUBE02","#_Destination","Bezeichnung",$B52)</f>
        <v>Increased autonomy in key strategic value chains for resilient industry</v>
      </c>
      <c r="E52" s="395">
        <f ca="1">_xll.PALO.DATAC("jedoxtest/EU_PM_CUBE02","EUPM_Mittel3_Cube",Datenstand,"Alle Beteiligungen","Alle Koordinatoren","Alle Unternehmensgrößen","-2","Alle Organisationstypen",28,"Alle Expertevaluierungsstatus",$A52,"-2",1,-2,"Alle","-2",$B52,E$7)</f>
        <v>112</v>
      </c>
      <c r="F52" s="395">
        <f ca="1">_xll.PALO.DATAC("jedoxtest/EU_PM_CUBE02","EUPM_Mittel3_Cube",Datenstand,"Alle Beteiligungen","Alle Koordinatoren","Alle Unternehmensgrößen","-2","Alle Organisationstypen",28,"Alle Expertevaluierungsstatus",$A52,"-2",1,-2,"Alle","-2",$B52,F$7)</f>
        <v>6</v>
      </c>
      <c r="G52" s="395">
        <f ca="1">_xll.PALO.DATAC("jedoxtest/EU_PM_CUBE02","EUPM_Mittel3_Cube",Datenstand,"Alle Beteiligungen","Alle Koordinatoren","Alle Unternehmensgrößen","-2","Alle Organisationstypen",28,"Alle Expertevaluierungsstatus",$A52,"-2",1,-2,"Alle","-2",$B52,G$7)</f>
        <v>51334284.57</v>
      </c>
    </row>
    <row r="53" spans="1:7" s="328" customFormat="1" ht="45">
      <c r="A53" s="536" t="s">
        <v>148</v>
      </c>
      <c r="B53" s="402">
        <v>100025</v>
      </c>
      <c r="D53" s="400" t="str">
        <f ca="1">_xll.PALO.DATA("jedoxtest/EU_PM_CUBE02","#_Destination","Bezeichnung",$B53)</f>
        <v>Open strategic autonomy in developing, deploying and using global space-based infrastructures, services, applications and data</v>
      </c>
      <c r="E53" s="395">
        <f ca="1">_xll.PALO.DATAC("jedoxtest/EU_PM_CUBE02","EUPM_Mittel3_Cube",Datenstand,"Alle Beteiligungen","Alle Koordinatoren","Alle Unternehmensgrößen","-2","Alle Organisationstypen",28,"Alle Expertevaluierungsstatus",$A53,"-2",1,-2,"Alle","-2",$B53,E$7)</f>
        <v>20</v>
      </c>
      <c r="F53" s="395">
        <f ca="1">_xll.PALO.DATAC("jedoxtest/EU_PM_CUBE02","EUPM_Mittel3_Cube",Datenstand,"Alle Beteiligungen","Alle Koordinatoren","Alle Unternehmensgrößen","-2","Alle Organisationstypen",28,"Alle Expertevaluierungsstatus",$A53,"-2",1,-2,"Alle","-2",$B53,F$7)</f>
        <v>1</v>
      </c>
      <c r="G53" s="395">
        <f ca="1">_xll.PALO.DATAC("jedoxtest/EU_PM_CUBE02","EUPM_Mittel3_Cube",Datenstand,"Alle Beteiligungen","Alle Koordinatoren","Alle Unternehmensgrößen","-2","Alle Organisationstypen",28,"Alle Expertevaluierungsstatus",$A53,"-2",1,-2,"Alle","-2",$B53,G$7)</f>
        <v>7371259.0700000003</v>
      </c>
    </row>
    <row r="54" spans="1:7" s="328" customFormat="1">
      <c r="A54" s="536" t="s">
        <v>148</v>
      </c>
      <c r="B54" s="402">
        <v>100026</v>
      </c>
      <c r="D54" s="400" t="str">
        <f ca="1">_xll.PALO.DATA("jedoxtest/EU_PM_CUBE02","#_Destination","Bezeichnung",$B54)</f>
        <v>Climate neutral, circular and digitised production</v>
      </c>
      <c r="E54" s="395">
        <f ca="1">_xll.PALO.DATAC("jedoxtest/EU_PM_CUBE02","EUPM_Mittel3_Cube",Datenstand,"Alle Beteiligungen","Alle Koordinatoren","Alle Unternehmensgrößen","-2","Alle Organisationstypen",28,"Alle Expertevaluierungsstatus",$A54,"-2",1,-2,"Alle","-2",$B54,E$7)</f>
        <v>122</v>
      </c>
      <c r="F54" s="395">
        <f ca="1">_xll.PALO.DATAC("jedoxtest/EU_PM_CUBE02","EUPM_Mittel3_Cube",Datenstand,"Alle Beteiligungen","Alle Koordinatoren","Alle Unternehmensgrößen","-2","Alle Organisationstypen",28,"Alle Expertevaluierungsstatus",$A54,"-2",1,-2,"Alle","-2",$B54,F$7)</f>
        <v>8</v>
      </c>
      <c r="G54" s="395">
        <f ca="1">_xll.PALO.DATAC("jedoxtest/EU_PM_CUBE02","EUPM_Mittel3_Cube",Datenstand,"Alle Beteiligungen","Alle Koordinatoren","Alle Unternehmensgrößen","-2","Alle Organisationstypen",28,"Alle Expertevaluierungsstatus",$A54,"-2",1,-2,"Alle","-2",$B54,G$7)</f>
        <v>57837721.57</v>
      </c>
    </row>
    <row r="55" spans="1:7" s="328" customFormat="1">
      <c r="A55" s="536" t="s">
        <v>148</v>
      </c>
      <c r="B55" s="402">
        <v>100027</v>
      </c>
      <c r="D55" s="527" t="str">
        <f ca="1">_xll.PALO.DATA("jedoxtest/EU_PM_CUBE02","#_Destination","Bezeichnung",$B55)</f>
        <v>rest of CL4</v>
      </c>
      <c r="E55" s="395">
        <f ca="1">_xll.PALO.DATAC("jedoxtest/EU_PM_CUBE02","EUPM_Mittel3_Cube",Datenstand,"Alle Beteiligungen","Alle Koordinatoren","Alle Unternehmensgrößen","-2","Alle Organisationstypen",28,"Alle Expertevaluierungsstatus",$A55,"-2",1,-2,"Alle","-2",$B55,E$7)</f>
        <v>7</v>
      </c>
      <c r="F55" s="395">
        <f ca="1">_xll.PALO.DATAC("jedoxtest/EU_PM_CUBE02","EUPM_Mittel3_Cube",Datenstand,"Alle Beteiligungen","Alle Koordinatoren","Alle Unternehmensgrößen","-2","Alle Organisationstypen",28,"Alle Expertevaluierungsstatus",$A55,"-2",1,-2,"Alle","-2",$B55,F$7)</f>
        <v>0</v>
      </c>
      <c r="G55" s="395">
        <f ca="1">_xll.PALO.DATAC("jedoxtest/EU_PM_CUBE02","EUPM_Mittel3_Cube",Datenstand,"Alle Beteiligungen","Alle Koordinatoren","Alle Unternehmensgrößen","-2","Alle Organisationstypen",28,"Alle Expertevaluierungsstatus",$A55,"-2",1,-2,"Alle","-2",$B55,G$7)</f>
        <v>114923.75</v>
      </c>
    </row>
    <row r="56" spans="1:7" s="328" customFormat="1">
      <c r="E56" s="403"/>
      <c r="F56" s="403"/>
      <c r="G56" s="403"/>
    </row>
    <row r="57" spans="1:7" s="328" customFormat="1">
      <c r="B57" s="402"/>
      <c r="E57" s="405"/>
      <c r="F57" s="405"/>
      <c r="G57" s="405"/>
    </row>
    <row r="58" spans="1:7" s="328" customFormat="1" ht="15.75">
      <c r="A58" s="522" t="s">
        <v>149</v>
      </c>
      <c r="B58" s="402">
        <v>1000005</v>
      </c>
      <c r="D58" s="281" t="str">
        <f ca="1">E14&amp;" "&amp;D14</f>
        <v>Cluster 5 Climate, Energy and Mobility</v>
      </c>
      <c r="E58" s="399">
        <f ca="1">_xll.PALO.DATAC("jedoxtest/EU_PM_CUBE02","EUPM_Mittel3_Cube",Datenstand,"Alle Beteiligungen","Alle Koordinatoren","Alle Unternehmensgrößen","-2","Alle Organisationstypen",28,"Alle Expertevaluierungsstatus",$A58,"-2",1,-2,"Alle","-2",$B58,E$7)</f>
        <v>509</v>
      </c>
      <c r="F58" s="399">
        <f ca="1">_xll.PALO.DATAC("jedoxtest/EU_PM_CUBE02","EUPM_Mittel3_Cube",Datenstand,"Alle Beteiligungen","Alle Koordinatoren","Alle Unternehmensgrößen","-2","Alle Organisationstypen",28,"Alle Expertevaluierungsstatus",$A58,"-2",1,-2,"Alle","-2",$B58,F$7)</f>
        <v>56</v>
      </c>
      <c r="G58" s="399">
        <f ca="1">_xll.PALO.DATAC("jedoxtest/EU_PM_CUBE02","EUPM_Mittel3_Cube",Datenstand,"Alle Beteiligungen","Alle Koordinatoren","Alle Unternehmensgrößen","-2","Alle Organisationstypen",28,"Alle Expertevaluierungsstatus",$A58,"-2",1,-2,"Alle","-2",$B58,G$7)</f>
        <v>257125159.53</v>
      </c>
    </row>
    <row r="59" spans="1:7" s="328" customFormat="1" ht="30">
      <c r="A59" s="522" t="s">
        <v>149</v>
      </c>
      <c r="B59" s="402">
        <v>100028</v>
      </c>
      <c r="D59" s="400" t="str">
        <f ca="1">_xll.PALO.DATA("jedoxtest/EU_PM_CUBE02","#_Destination","Bezeichnung",$B59)</f>
        <v>Climate sciences and responses for the transformation towards climate neutrality</v>
      </c>
      <c r="E59" s="395">
        <f ca="1">_xll.PALO.DATAC("jedoxtest/EU_PM_CUBE02","EUPM_Mittel3_Cube",Datenstand,"Alle Beteiligungen","Alle Koordinatoren","Alle Unternehmensgrößen","-2","Alle Organisationstypen",28,"Alle Expertevaluierungsstatus",$A59,"-2",1,-2,"Alle","-2",$B59,E$7)</f>
        <v>60</v>
      </c>
      <c r="F59" s="395">
        <f ca="1">_xll.PALO.DATAC("jedoxtest/EU_PM_CUBE02","EUPM_Mittel3_Cube",Datenstand,"Alle Beteiligungen","Alle Koordinatoren","Alle Unternehmensgrößen","-2","Alle Organisationstypen",28,"Alle Expertevaluierungsstatus",$A59,"-2",1,-2,"Alle","-2",$B59,F$7)</f>
        <v>6</v>
      </c>
      <c r="G59" s="395">
        <f ca="1">_xll.PALO.DATAC("jedoxtest/EU_PM_CUBE02","EUPM_Mittel3_Cube",Datenstand,"Alle Beteiligungen","Alle Koordinatoren","Alle Unternehmensgrößen","-2","Alle Organisationstypen",28,"Alle Expertevaluierungsstatus",$A59,"-2",1,-2,"Alle","-2",$B59,G$7)</f>
        <v>36027957.369999997</v>
      </c>
    </row>
    <row r="60" spans="1:7" s="328" customFormat="1">
      <c r="A60" s="522" t="s">
        <v>149</v>
      </c>
      <c r="B60" s="402">
        <v>100029</v>
      </c>
      <c r="D60" s="400" t="str">
        <f ca="1">_xll.PALO.DATA("jedoxtest/EU_PM_CUBE02","#_Destination","Bezeichnung",$B60)</f>
        <v>Cross-sectoral solutions for the climate transition</v>
      </c>
      <c r="E60" s="395">
        <f ca="1">_xll.PALO.DATAC("jedoxtest/EU_PM_CUBE02","EUPM_Mittel3_Cube",Datenstand,"Alle Beteiligungen","Alle Koordinatoren","Alle Unternehmensgrößen","-2","Alle Organisationstypen",28,"Alle Expertevaluierungsstatus",$A60,"-2",1,-2,"Alle","-2",$B60,E$7)</f>
        <v>81</v>
      </c>
      <c r="F60" s="395">
        <f ca="1">_xll.PALO.DATAC("jedoxtest/EU_PM_CUBE02","EUPM_Mittel3_Cube",Datenstand,"Alle Beteiligungen","Alle Koordinatoren","Alle Unternehmensgrößen","-2","Alle Organisationstypen",28,"Alle Expertevaluierungsstatus",$A60,"-2",1,-2,"Alle","-2",$B60,F$7)</f>
        <v>13</v>
      </c>
      <c r="G60" s="395">
        <f ca="1">_xll.PALO.DATAC("jedoxtest/EU_PM_CUBE02","EUPM_Mittel3_Cube",Datenstand,"Alle Beteiligungen","Alle Koordinatoren","Alle Unternehmensgrößen","-2","Alle Organisationstypen",28,"Alle Expertevaluierungsstatus",$A60,"-2",1,-2,"Alle","-2",$B60,G$7)</f>
        <v>60099509.189999998</v>
      </c>
    </row>
    <row r="61" spans="1:7" s="328" customFormat="1">
      <c r="A61" s="522" t="s">
        <v>149</v>
      </c>
      <c r="B61" s="402">
        <v>100030</v>
      </c>
      <c r="D61" s="400" t="str">
        <f ca="1">_xll.PALO.DATA("jedoxtest/EU_PM_CUBE02","#_Destination","Bezeichnung",$B61)</f>
        <v>Sustainable, secure and competitive energy supply</v>
      </c>
      <c r="E61" s="395">
        <f ca="1">_xll.PALO.DATAC("jedoxtest/EU_PM_CUBE02","EUPM_Mittel3_Cube",Datenstand,"Alle Beteiligungen","Alle Koordinatoren","Alle Unternehmensgrößen","-2","Alle Organisationstypen",28,"Alle Expertevaluierungsstatus",$A61,"-2",1,-2,"Alle","-2",$B61,E$7)</f>
        <v>149</v>
      </c>
      <c r="F61" s="395">
        <f ca="1">_xll.PALO.DATAC("jedoxtest/EU_PM_CUBE02","EUPM_Mittel3_Cube",Datenstand,"Alle Beteiligungen","Alle Koordinatoren","Alle Unternehmensgrößen","-2","Alle Organisationstypen",28,"Alle Expertevaluierungsstatus",$A61,"-2",1,-2,"Alle","-2",$B61,F$7)</f>
        <v>12</v>
      </c>
      <c r="G61" s="395">
        <f ca="1">_xll.PALO.DATAC("jedoxtest/EU_PM_CUBE02","EUPM_Mittel3_Cube",Datenstand,"Alle Beteiligungen","Alle Koordinatoren","Alle Unternehmensgrößen","-2","Alle Organisationstypen",28,"Alle Expertevaluierungsstatus",$A61,"-2",1,-2,"Alle","-2",$B61,G$7)</f>
        <v>71628226.189999998</v>
      </c>
    </row>
    <row r="62" spans="1:7" s="328" customFormat="1">
      <c r="A62" s="522" t="s">
        <v>149</v>
      </c>
      <c r="B62" s="402">
        <v>100031</v>
      </c>
      <c r="D62" s="400" t="str">
        <f ca="1">_xll.PALO.DATA("jedoxtest/EU_PM_CUBE02","#_Destination","Bezeichnung",$B62)</f>
        <v>Efficient, sustainable and inclusive energy use</v>
      </c>
      <c r="E62" s="395">
        <f ca="1">_xll.PALO.DATAC("jedoxtest/EU_PM_CUBE02","EUPM_Mittel3_Cube",Datenstand,"Alle Beteiligungen","Alle Koordinatoren","Alle Unternehmensgrößen","-2","Alle Organisationstypen",28,"Alle Expertevaluierungsstatus",$A62,"-2",1,-2,"Alle","-2",$B62,E$7)</f>
        <v>44</v>
      </c>
      <c r="F62" s="395">
        <f ca="1">_xll.PALO.DATAC("jedoxtest/EU_PM_CUBE02","EUPM_Mittel3_Cube",Datenstand,"Alle Beteiligungen","Alle Koordinatoren","Alle Unternehmensgrößen","-2","Alle Organisationstypen",28,"Alle Expertevaluierungsstatus",$A62,"-2",1,-2,"Alle","-2",$B62,F$7)</f>
        <v>1</v>
      </c>
      <c r="G62" s="395">
        <f ca="1">_xll.PALO.DATAC("jedoxtest/EU_PM_CUBE02","EUPM_Mittel3_Cube",Datenstand,"Alle Beteiligungen","Alle Koordinatoren","Alle Unternehmensgrößen","-2","Alle Organisationstypen",28,"Alle Expertevaluierungsstatus",$A62,"-2",1,-2,"Alle","-2",$B62,G$7)</f>
        <v>12261941.279999999</v>
      </c>
    </row>
    <row r="63" spans="1:7" s="328" customFormat="1">
      <c r="A63" s="522" t="s">
        <v>149</v>
      </c>
      <c r="B63" s="402">
        <v>100032</v>
      </c>
      <c r="D63" s="400" t="str">
        <f ca="1">_xll.PALO.DATA("jedoxtest/EU_PM_CUBE02","#_Destination","Bezeichnung",$B63)</f>
        <v>Clean and competitive solutions for all transport modes</v>
      </c>
      <c r="E63" s="395">
        <f ca="1">_xll.PALO.DATAC("jedoxtest/EU_PM_CUBE02","EUPM_Mittel3_Cube",Datenstand,"Alle Beteiligungen","Alle Koordinatoren","Alle Unternehmensgrößen","-2","Alle Organisationstypen",28,"Alle Expertevaluierungsstatus",$A63,"-2",1,-2,"Alle","-2",$B63,E$7)</f>
        <v>116</v>
      </c>
      <c r="F63" s="395">
        <f ca="1">_xll.PALO.DATAC("jedoxtest/EU_PM_CUBE02","EUPM_Mittel3_Cube",Datenstand,"Alle Beteiligungen","Alle Koordinatoren","Alle Unternehmensgrößen","-2","Alle Organisationstypen",28,"Alle Expertevaluierungsstatus",$A63,"-2",1,-2,"Alle","-2",$B63,F$7)</f>
        <v>18</v>
      </c>
      <c r="G63" s="395">
        <f ca="1">_xll.PALO.DATAC("jedoxtest/EU_PM_CUBE02","EUPM_Mittel3_Cube",Datenstand,"Alle Beteiligungen","Alle Koordinatoren","Alle Unternehmensgrößen","-2","Alle Organisationstypen",28,"Alle Expertevaluierungsstatus",$A63,"-2",1,-2,"Alle","-2",$B63,G$7)</f>
        <v>51493967.649999999</v>
      </c>
    </row>
    <row r="64" spans="1:7" s="328" customFormat="1" ht="30">
      <c r="A64" s="522" t="s">
        <v>149</v>
      </c>
      <c r="B64" s="402">
        <v>100033</v>
      </c>
      <c r="D64" s="527" t="str">
        <f ca="1">_xll.PALO.DATA("jedoxtest/EU_PM_CUBE02","#_Destination","Bezeichnung",$B64)</f>
        <v>Safe, Resilient Transport and Smart Mobility services for passengers and goods</v>
      </c>
      <c r="E64" s="395">
        <f ca="1">_xll.PALO.DATAC("jedoxtest/EU_PM_CUBE02","EUPM_Mittel3_Cube",Datenstand,"Alle Beteiligungen","Alle Koordinatoren","Alle Unternehmensgrößen","-2","Alle Organisationstypen",28,"Alle Expertevaluierungsstatus",$A64,"-2",1,-2,"Alle","-2",$B64,E$7)</f>
        <v>58</v>
      </c>
      <c r="F64" s="395">
        <f ca="1">_xll.PALO.DATAC("jedoxtest/EU_PM_CUBE02","EUPM_Mittel3_Cube",Datenstand,"Alle Beteiligungen","Alle Koordinatoren","Alle Unternehmensgrößen","-2","Alle Organisationstypen",28,"Alle Expertevaluierungsstatus",$A64,"-2",1,-2,"Alle","-2",$B64,F$7)</f>
        <v>6</v>
      </c>
      <c r="G64" s="395">
        <f ca="1">_xll.PALO.DATAC("jedoxtest/EU_PM_CUBE02","EUPM_Mittel3_Cube",Datenstand,"Alle Beteiligungen","Alle Koordinatoren","Alle Unternehmensgrößen","-2","Alle Organisationstypen",28,"Alle Expertevaluierungsstatus",$A64,"-2",1,-2,"Alle","-2",$B64,G$7)</f>
        <v>25494058.16</v>
      </c>
    </row>
    <row r="65" spans="1:7" s="328" customFormat="1">
      <c r="A65" s="536" t="s">
        <v>149</v>
      </c>
      <c r="B65" s="402">
        <v>100034</v>
      </c>
      <c r="D65" s="527" t="str">
        <f ca="1">_xll.PALO.DATA("jedoxtest/EU_PM_CUBE02","#_Destination","Bezeichnung",$B65)</f>
        <v>rest of CL5</v>
      </c>
      <c r="E65" s="395">
        <f ca="1">_xll.PALO.DATAC("jedoxtest/EU_PM_CUBE02","EUPM_Mittel3_Cube",Datenstand,"Alle Beteiligungen","Alle Koordinatoren","Alle Unternehmensgrößen","-2","Alle Organisationstypen",28,"Alle Expertevaluierungsstatus",$A65,"-2",1,-2,"Alle","-2",$B65,E$7)</f>
        <v>1</v>
      </c>
      <c r="F65" s="395">
        <f ca="1">_xll.PALO.DATAC("jedoxtest/EU_PM_CUBE02","EUPM_Mittel3_Cube",Datenstand,"Alle Beteiligungen","Alle Koordinatoren","Alle Unternehmensgrößen","-2","Alle Organisationstypen",28,"Alle Expertevaluierungsstatus",$A65,"-2",1,-2,"Alle","-2",$B65,F$7)</f>
        <v>0</v>
      </c>
      <c r="G65" s="395">
        <f ca="1">_xll.PALO.DATAC("jedoxtest/EU_PM_CUBE02","EUPM_Mittel3_Cube",Datenstand,"Alle Beteiligungen","Alle Koordinatoren","Alle Unternehmensgrößen","-2","Alle Organisationstypen",28,"Alle Expertevaluierungsstatus",$A65,"-2",1,-2,"Alle","-2",$B65,G$7)</f>
        <v>119499.69</v>
      </c>
    </row>
    <row r="66" spans="1:7" s="406" customFormat="1">
      <c r="B66" s="402"/>
      <c r="E66" s="407"/>
      <c r="F66" s="407"/>
      <c r="G66" s="407"/>
    </row>
    <row r="67" spans="1:7" s="406" customFormat="1">
      <c r="B67" s="402"/>
      <c r="E67" s="407"/>
      <c r="F67" s="407"/>
      <c r="G67" s="407"/>
    </row>
    <row r="68" spans="1:7" s="118" customFormat="1" ht="31.5">
      <c r="A68" s="522" t="s">
        <v>150</v>
      </c>
      <c r="B68" s="402">
        <v>1000006</v>
      </c>
      <c r="D68" s="410" t="str">
        <f ca="1">E15&amp;" "&amp;D15</f>
        <v>Cluster 6 Food, Bioeconomy Natural Resources, Agriculture and Environment</v>
      </c>
      <c r="E68" s="399">
        <f ca="1">_xll.PALO.DATAC("jedoxtest/EU_PM_CUBE02","EUPM_Mittel3_Cube",Datenstand,"Alle Beteiligungen","Alle Koordinatoren","Alle Unternehmensgrößen","-2","Alle Organisationstypen",28,"Alle Expertevaluierungsstatus",$A68,"-2",1,-2,"Alle","-2",$B68,E$7)</f>
        <v>365</v>
      </c>
      <c r="F68" s="399">
        <f ca="1">_xll.PALO.DATAC("jedoxtest/EU_PM_CUBE02","EUPM_Mittel3_Cube",Datenstand,"Alle Beteiligungen","Alle Koordinatoren","Alle Unternehmensgrößen","-2","Alle Organisationstypen",28,"Alle Expertevaluierungsstatus",$A68,"-2",1,-2,"Alle","-2",$B68,F$7)</f>
        <v>24</v>
      </c>
      <c r="G68" s="399">
        <f ca="1">_xll.PALO.DATAC("jedoxtest/EU_PM_CUBE02","EUPM_Mittel3_Cube",Datenstand,"Alle Beteiligungen","Alle Koordinatoren","Alle Unternehmensgrößen","-2","Alle Organisationstypen",28,"Alle Expertevaluierungsstatus",$A68,"-2",1,-2,"Alle","-2",$B68,G$7)</f>
        <v>127945729.17</v>
      </c>
    </row>
    <row r="69" spans="1:7" s="118" customFormat="1">
      <c r="A69" s="522" t="s">
        <v>150</v>
      </c>
      <c r="B69" s="402">
        <v>100035</v>
      </c>
      <c r="D69" s="400" t="str">
        <f ca="1">_xll.PALO.DATA("jedoxtest/EU_PM_CUBE02","#_Destination","Bezeichnung",$B69)</f>
        <v>Biodiversity and ecosystem services</v>
      </c>
      <c r="E69" s="395">
        <f ca="1">_xll.PALO.DATAC("jedoxtest/EU_PM_CUBE02","EUPM_Mittel3_Cube",Datenstand,"Alle Beteiligungen","Alle Koordinatoren","Alle Unternehmensgrößen","-2","Alle Organisationstypen",28,"Alle Expertevaluierungsstatus",$A69,"-2",1,-2,"Alle","-2",$B69,E$7)</f>
        <v>76</v>
      </c>
      <c r="F69" s="395">
        <f ca="1">_xll.PALO.DATAC("jedoxtest/EU_PM_CUBE02","EUPM_Mittel3_Cube",Datenstand,"Alle Beteiligungen","Alle Koordinatoren","Alle Unternehmensgrößen","-2","Alle Organisationstypen",28,"Alle Expertevaluierungsstatus",$A69,"-2",1,-2,"Alle","-2",$B69,F$7)</f>
        <v>5</v>
      </c>
      <c r="G69" s="395">
        <f ca="1">_xll.PALO.DATAC("jedoxtest/EU_PM_CUBE02","EUPM_Mittel3_Cube",Datenstand,"Alle Beteiligungen","Alle Koordinatoren","Alle Unternehmensgrößen","-2","Alle Organisationstypen",28,"Alle Expertevaluierungsstatus",$A69,"-2",1,-2,"Alle","-2",$B69,G$7)</f>
        <v>33149200.949999999</v>
      </c>
    </row>
    <row r="70" spans="1:7" s="118" customFormat="1">
      <c r="A70" s="522" t="s">
        <v>150</v>
      </c>
      <c r="B70" s="402">
        <v>100036</v>
      </c>
      <c r="D70" s="400" t="str">
        <f ca="1">_xll.PALO.DATA("jedoxtest/EU_PM_CUBE02","#_Destination","Bezeichnung",$B70)</f>
        <v>Circular economy and bioeconomy sectors</v>
      </c>
      <c r="E70" s="395">
        <f ca="1">_xll.PALO.DATAC("jedoxtest/EU_PM_CUBE02","EUPM_Mittel3_Cube",Datenstand,"Alle Beteiligungen","Alle Koordinatoren","Alle Unternehmensgrößen","-2","Alle Organisationstypen",28,"Alle Expertevaluierungsstatus",$A70,"-2",1,-2,"Alle","-2",$B70,E$7)</f>
        <v>51</v>
      </c>
      <c r="F70" s="395">
        <f ca="1">_xll.PALO.DATAC("jedoxtest/EU_PM_CUBE02","EUPM_Mittel3_Cube",Datenstand,"Alle Beteiligungen","Alle Koordinatoren","Alle Unternehmensgrößen","-2","Alle Organisationstypen",28,"Alle Expertevaluierungsstatus",$A70,"-2",1,-2,"Alle","-2",$B70,F$7)</f>
        <v>3</v>
      </c>
      <c r="G70" s="395">
        <f ca="1">_xll.PALO.DATAC("jedoxtest/EU_PM_CUBE02","EUPM_Mittel3_Cube",Datenstand,"Alle Beteiligungen","Alle Koordinatoren","Alle Unternehmensgrößen","-2","Alle Organisationstypen",28,"Alle Expertevaluierungsstatus",$A70,"-2",1,-2,"Alle","-2",$B70,G$7)</f>
        <v>19202817.98</v>
      </c>
    </row>
    <row r="71" spans="1:7" s="40" customFormat="1">
      <c r="A71" s="522" t="s">
        <v>150</v>
      </c>
      <c r="B71" s="402">
        <v>100037</v>
      </c>
      <c r="D71" s="400" t="str">
        <f ca="1">_xll.PALO.DATA("jedoxtest/EU_PM_CUBE02","#_Destination","Bezeichnung",$B71)</f>
        <v>Land, ocean and water for climate action</v>
      </c>
      <c r="E71" s="395">
        <f ca="1">_xll.PALO.DATAC("jedoxtest/EU_PM_CUBE02","EUPM_Mittel3_Cube",Datenstand,"Alle Beteiligungen","Alle Koordinatoren","Alle Unternehmensgrößen","-2","Alle Organisationstypen",28,"Alle Expertevaluierungsstatus",$A71,"-2",1,-2,"Alle","-2",$B71,E$7)</f>
        <v>29</v>
      </c>
      <c r="F71" s="395">
        <f ca="1">_xll.PALO.DATAC("jedoxtest/EU_PM_CUBE02","EUPM_Mittel3_Cube",Datenstand,"Alle Beteiligungen","Alle Koordinatoren","Alle Unternehmensgrößen","-2","Alle Organisationstypen",28,"Alle Expertevaluierungsstatus",$A71,"-2",1,-2,"Alle","-2",$B71,F$7)</f>
        <v>1</v>
      </c>
      <c r="G71" s="395">
        <f ca="1">_xll.PALO.DATAC("jedoxtest/EU_PM_CUBE02","EUPM_Mittel3_Cube",Datenstand,"Alle Beteiligungen","Alle Koordinatoren","Alle Unternehmensgrößen","-2","Alle Organisationstypen",28,"Alle Expertevaluierungsstatus",$A71,"-2",1,-2,"Alle","-2",$B71,G$7)</f>
        <v>9205777.3800000008</v>
      </c>
    </row>
    <row r="72" spans="1:7" s="40" customFormat="1" ht="30">
      <c r="A72" s="522" t="s">
        <v>150</v>
      </c>
      <c r="B72" s="402">
        <v>100038</v>
      </c>
      <c r="D72" s="400" t="str">
        <f ca="1">_xll.PALO.DATA("jedoxtest/EU_PM_CUBE02","#_Destination","Bezeichnung",$B72)</f>
        <v>Resilient, inclusive, healthy and green rural, coastal and urban communities</v>
      </c>
      <c r="E72" s="395">
        <f ca="1">_xll.PALO.DATAC("jedoxtest/EU_PM_CUBE02","EUPM_Mittel3_Cube",Datenstand,"Alle Beteiligungen","Alle Koordinatoren","Alle Unternehmensgrößen","-2","Alle Organisationstypen",28,"Alle Expertevaluierungsstatus",$A72,"-2",1,-2,"Alle","-2",$B72,E$7)</f>
        <v>29</v>
      </c>
      <c r="F72" s="395">
        <f ca="1">_xll.PALO.DATAC("jedoxtest/EU_PM_CUBE02","EUPM_Mittel3_Cube",Datenstand,"Alle Beteiligungen","Alle Koordinatoren","Alle Unternehmensgrößen","-2","Alle Organisationstypen",28,"Alle Expertevaluierungsstatus",$A72,"-2",1,-2,"Alle","-2",$B72,F$7)</f>
        <v>2</v>
      </c>
      <c r="G72" s="395">
        <f ca="1">_xll.PALO.DATAC("jedoxtest/EU_PM_CUBE02","EUPM_Mittel3_Cube",Datenstand,"Alle Beteiligungen","Alle Koordinatoren","Alle Unternehmensgrößen","-2","Alle Organisationstypen",28,"Alle Expertevaluierungsstatus",$A72,"-2",1,-2,"Alle","-2",$B72,G$7)</f>
        <v>9970070.6600000001</v>
      </c>
    </row>
    <row r="73" spans="1:7" s="40" customFormat="1" ht="30">
      <c r="A73" s="522" t="s">
        <v>150</v>
      </c>
      <c r="B73" s="402">
        <v>100039</v>
      </c>
      <c r="D73" s="400" t="str">
        <f ca="1">_xll.PALO.DATA("jedoxtest/EU_PM_CUBE02","#_Destination","Bezeichnung",$B73)</f>
        <v>Fair, healthy and environment-friendly food systems from primary production to consumption</v>
      </c>
      <c r="E73" s="395">
        <f ca="1">_xll.PALO.DATAC("jedoxtest/EU_PM_CUBE02","EUPM_Mittel3_Cube",Datenstand,"Alle Beteiligungen","Alle Koordinatoren","Alle Unternehmensgrößen","-2","Alle Organisationstypen",28,"Alle Expertevaluierungsstatus",$A73,"-2",1,-2,"Alle","-2",$B73,E$7)</f>
        <v>87</v>
      </c>
      <c r="F73" s="395">
        <f ca="1">_xll.PALO.DATAC("jedoxtest/EU_PM_CUBE02","EUPM_Mittel3_Cube",Datenstand,"Alle Beteiligungen","Alle Koordinatoren","Alle Unternehmensgrößen","-2","Alle Organisationstypen",28,"Alle Expertevaluierungsstatus",$A73,"-2",1,-2,"Alle","-2",$B73,F$7)</f>
        <v>6</v>
      </c>
      <c r="G73" s="395">
        <f ca="1">_xll.PALO.DATAC("jedoxtest/EU_PM_CUBE02","EUPM_Mittel3_Cube",Datenstand,"Alle Beteiligungen","Alle Koordinatoren","Alle Unternehmensgrößen","-2","Alle Organisationstypen",28,"Alle Expertevaluierungsstatus",$A73,"-2",1,-2,"Alle","-2",$B73,G$7)</f>
        <v>28531535.850000001</v>
      </c>
    </row>
    <row r="74" spans="1:7" s="385" customFormat="1" ht="30">
      <c r="A74" s="522" t="s">
        <v>150</v>
      </c>
      <c r="B74" s="402">
        <v>100040</v>
      </c>
      <c r="D74" s="400" t="str">
        <f ca="1">_xll.PALO.DATA("jedoxtest/EU_PM_CUBE02","#_Destination","Bezeichnung",$B74)</f>
        <v>Innovative governance, environmental observations and digital solutions in support of the Green Deal</v>
      </c>
      <c r="E74" s="395">
        <f ca="1">_xll.PALO.DATAC("jedoxtest/EU_PM_CUBE02","EUPM_Mittel3_Cube",Datenstand,"Alle Beteiligungen","Alle Koordinatoren","Alle Unternehmensgrößen","-2","Alle Organisationstypen",28,"Alle Expertevaluierungsstatus",$A74,"-2",1,-2,"Alle","-2",$B74,E$7)</f>
        <v>72</v>
      </c>
      <c r="F74" s="395">
        <f ca="1">_xll.PALO.DATAC("jedoxtest/EU_PM_CUBE02","EUPM_Mittel3_Cube",Datenstand,"Alle Beteiligungen","Alle Koordinatoren","Alle Unternehmensgrößen","-2","Alle Organisationstypen",28,"Alle Expertevaluierungsstatus",$A74,"-2",1,-2,"Alle","-2",$B74,F$7)</f>
        <v>7</v>
      </c>
      <c r="G74" s="395">
        <f ca="1">_xll.PALO.DATAC("jedoxtest/EU_PM_CUBE02","EUPM_Mittel3_Cube",Datenstand,"Alle Beteiligungen","Alle Koordinatoren","Alle Unternehmensgrößen","-2","Alle Organisationstypen",28,"Alle Expertevaluierungsstatus",$A74,"-2",1,-2,"Alle","-2",$B74,G$7)</f>
        <v>22757042.620000001</v>
      </c>
    </row>
    <row r="75" spans="1:7" s="385" customFormat="1">
      <c r="A75" s="522" t="s">
        <v>150</v>
      </c>
      <c r="B75" s="402">
        <v>100041</v>
      </c>
      <c r="D75" s="527" t="str">
        <f ca="1">_xll.PALO.DATA("jedoxtest/EU_PM_CUBE02","#_Destination","Bezeichnung",$B75)</f>
        <v>Clean environment and zero pollution</v>
      </c>
      <c r="E75" s="395">
        <f ca="1">_xll.PALO.DATAC("jedoxtest/EU_PM_CUBE02","EUPM_Mittel3_Cube",Datenstand,"Alle Beteiligungen","Alle Koordinatoren","Alle Unternehmensgrößen","-2","Alle Organisationstypen",28,"Alle Expertevaluierungsstatus",$A75,"-2",1,-2,"Alle","-2",$B75,E$7)</f>
        <v>21</v>
      </c>
      <c r="F75" s="395">
        <f ca="1">_xll.PALO.DATAC("jedoxtest/EU_PM_CUBE02","EUPM_Mittel3_Cube",Datenstand,"Alle Beteiligungen","Alle Koordinatoren","Alle Unternehmensgrößen","-2","Alle Organisationstypen",28,"Alle Expertevaluierungsstatus",$A75,"-2",1,-2,"Alle","-2",$B75,F$7)</f>
        <v>0</v>
      </c>
      <c r="G75" s="395">
        <f ca="1">_xll.PALO.DATAC("jedoxtest/EU_PM_CUBE02","EUPM_Mittel3_Cube",Datenstand,"Alle Beteiligungen","Alle Koordinatoren","Alle Unternehmensgrößen","-2","Alle Organisationstypen",28,"Alle Expertevaluierungsstatus",$A75,"-2",1,-2,"Alle","-2",$B75,G$7)</f>
        <v>5129283.7300000004</v>
      </c>
    </row>
    <row r="76" spans="1:7" s="385" customFormat="1">
      <c r="A76" s="536" t="s">
        <v>150</v>
      </c>
      <c r="B76" s="402">
        <v>100042</v>
      </c>
      <c r="D76" s="527" t="str">
        <f ca="1">_xll.PALO.DATA("jedoxtest/EU_PM_CUBE02","#_Destination","Bezeichnung",$B76)</f>
        <v>rest of CL6</v>
      </c>
      <c r="E76" s="395">
        <f ca="1">_xll.PALO.DATAC("jedoxtest/EU_PM_CUBE02","EUPM_Mittel3_Cube",Datenstand,"Alle Beteiligungen","Alle Koordinatoren","Alle Unternehmensgrößen","-2","Alle Organisationstypen",28,"Alle Expertevaluierungsstatus",$A76,"-2",1,-2,"Alle","-2",$B76,E$7)</f>
        <v>0</v>
      </c>
      <c r="F76" s="395">
        <f ca="1">_xll.PALO.DATAC("jedoxtest/EU_PM_CUBE02","EUPM_Mittel3_Cube",Datenstand,"Alle Beteiligungen","Alle Koordinatoren","Alle Unternehmensgrößen","-2","Alle Organisationstypen",28,"Alle Expertevaluierungsstatus",$A76,"-2",1,-2,"Alle","-2",$B76,F$7)</f>
        <v>0</v>
      </c>
      <c r="G76" s="395">
        <f ca="1">_xll.PALO.DATAC("jedoxtest/EU_PM_CUBE02","EUPM_Mittel3_Cube",Datenstand,"Alle Beteiligungen","Alle Koordinatoren","Alle Unternehmensgrößen","-2","Alle Organisationstypen",28,"Alle Expertevaluierungsstatus",$A76,"-2",1,-2,"Alle","-2",$B76,G$7)</f>
        <v>0</v>
      </c>
    </row>
    <row r="77" spans="1:7" s="385" customFormat="1">
      <c r="E77" s="408"/>
      <c r="F77" s="408"/>
      <c r="G77" s="408"/>
    </row>
    <row r="78" spans="1:7" s="385" customFormat="1">
      <c r="E78" s="705" t="str">
        <f ca="1">"Quelle: EC "&amp;_xll.PALO.DATA("jedoxtest/EU_PM_CUBE02","#_Datenstand","reference_month",Datenstand)&amp;"/"&amp;_xll.PALO.DATA("jedoxtest/EU_PM_CUBE02","#_Datenstand","reference_year",Datenstand)&amp;"; Darstellung FFG"</f>
        <v>Quelle: EC 5/2026; Darstellung FFG</v>
      </c>
      <c r="F78" s="705"/>
      <c r="G78" s="705"/>
    </row>
    <row r="79" spans="1:7">
      <c r="E79" s="705" t="str">
        <f ca="1">"Datenstand: "&amp;_xll.PALO.DATA("jedoxtest/EU_PM_CUBE02","#_Datenstand","reference_day",Datenstand)&amp;"."&amp;_xll.PALO.DATA("jedoxtest/EU_PM_CUBE02","#_Datenstand","reference_month",Datenstand)&amp;"."&amp;_xll.PALO.DATA("jedoxtest/EU_PM_CUBE02","#_Datenstand","reference_year",Datenstand)</f>
        <v>Datenstand: 19.5.2026</v>
      </c>
      <c r="F79" s="705"/>
      <c r="G79" s="705"/>
    </row>
    <row r="85" spans="5:5">
      <c r="E85" s="61"/>
    </row>
    <row r="86" spans="5:5">
      <c r="E86" s="61"/>
    </row>
  </sheetData>
  <mergeCells count="5">
    <mergeCell ref="D2:G2"/>
    <mergeCell ref="E78:G78"/>
    <mergeCell ref="E79:G79"/>
    <mergeCell ref="D4:G4"/>
    <mergeCell ref="D5:G5"/>
  </mergeCells>
  <pageMargins left="0.70866141732283472" right="0.70866141732283472" top="0.74803149606299213" bottom="0.74803149606299213" header="0.31496062992125984" footer="0.31496062992125984"/>
  <pageSetup paperSize="9" scale="55" orientation="portrait" r:id="rId1"/>
  <headerFooter>
    <oddHeader>&amp;R&amp;G</oddHeader>
    <oddFooter>&amp;L&amp;7&amp;KA6A6A6Österreichische Forschungsförderungsgesellschaft mbH
Sensengasse 1, A-1090 Wien&amp;C&amp;7&amp;KA6A6A6EU-PM
&amp;D&amp;R&amp;7&amp;KA6A6A6Seite &amp;P von &amp;N</oddFooter>
  </headerFooter>
  <rowBreaks count="1" manualBreakCount="1">
    <brk id="56" min="3" max="6"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00B0F0"/>
    <pageSetUpPr fitToPage="1"/>
  </sheetPr>
  <dimension ref="A1:P51"/>
  <sheetViews>
    <sheetView topLeftCell="A17" zoomScaleNormal="100" workbookViewId="0">
      <selection activeCell="J41" sqref="J41:K41"/>
    </sheetView>
  </sheetViews>
  <sheetFormatPr baseColWidth="10" defaultColWidth="11.42578125" defaultRowHeight="15"/>
  <cols>
    <col min="1" max="1" width="11.42578125" style="61" customWidth="1"/>
    <col min="2" max="2" width="6.5703125" style="61" bestFit="1" customWidth="1"/>
    <col min="3" max="3" width="3.85546875" style="387" customWidth="1"/>
    <col min="4" max="4" width="16.5703125" style="61" customWidth="1"/>
    <col min="5" max="5" width="21.28515625" style="61" customWidth="1"/>
    <col min="6" max="6" width="8.7109375" style="61" customWidth="1"/>
    <col min="7" max="7" width="11.42578125" style="61"/>
    <col min="8" max="8" width="10.85546875" style="61" customWidth="1"/>
    <col min="9" max="9" width="11.7109375" style="61" customWidth="1"/>
    <col min="10" max="10" width="5.85546875" style="61" customWidth="1"/>
    <col min="11" max="11" width="9.85546875" style="61" customWidth="1"/>
    <col min="12" max="12" width="12.42578125" style="61" hidden="1" customWidth="1"/>
    <col min="13" max="13" width="18.42578125" style="61" customWidth="1"/>
    <col min="14" max="14" width="2.28515625" style="387" customWidth="1"/>
    <col min="15" max="15" width="2.85546875" style="387" customWidth="1"/>
    <col min="16" max="16384" width="11.42578125" style="61"/>
  </cols>
  <sheetData>
    <row r="1" spans="2:16" s="387" customFormat="1"/>
    <row r="2" spans="2:16" s="387" customFormat="1" ht="27" customHeight="1">
      <c r="D2" s="712" t="str">
        <f ca="1">"Anteil Österreichs an "&amp;_xll.PALO.DATA("jedoxtest/EU_PM_CUBE02","#_Datenstand","frameworkprog_long",AT_ExSc_Datenstand)&amp;" in "&amp;$D$11</f>
        <v>Anteil Österreichs an Horizon Europe in Innovative Europe</v>
      </c>
      <c r="E2" s="712"/>
      <c r="F2" s="713"/>
      <c r="G2" s="713"/>
      <c r="H2" s="713"/>
      <c r="I2" s="713"/>
      <c r="J2" s="713"/>
      <c r="K2" s="713"/>
      <c r="L2" s="713"/>
      <c r="M2" s="713"/>
      <c r="N2" s="713"/>
    </row>
    <row r="3" spans="2:16" s="387" customFormat="1" ht="18.75">
      <c r="D3" s="729"/>
      <c r="E3" s="729"/>
      <c r="F3" s="729"/>
      <c r="G3" s="729"/>
      <c r="H3" s="729"/>
      <c r="I3" s="729"/>
      <c r="J3" s="729"/>
      <c r="K3" s="729"/>
      <c r="L3" s="729"/>
      <c r="M3" s="729"/>
      <c r="N3" s="435"/>
      <c r="O3" s="40"/>
      <c r="P3" s="40"/>
    </row>
    <row r="4" spans="2:16" s="387" customFormat="1" ht="24" customHeight="1">
      <c r="E4" s="716"/>
      <c r="F4" s="716"/>
      <c r="G4" s="716"/>
      <c r="H4" s="717"/>
      <c r="I4" s="717"/>
      <c r="J4" s="717"/>
      <c r="K4" s="717"/>
      <c r="L4" s="717"/>
      <c r="M4" s="717"/>
      <c r="N4" s="40"/>
      <c r="O4" s="40"/>
      <c r="P4" s="40"/>
    </row>
    <row r="5" spans="2:16" s="387" customFormat="1">
      <c r="E5" s="716" t="s">
        <v>20</v>
      </c>
      <c r="F5" s="716"/>
      <c r="G5" s="716"/>
      <c r="H5" s="717" t="s">
        <v>19</v>
      </c>
      <c r="I5" s="717"/>
      <c r="J5" s="717"/>
      <c r="K5" s="717" t="s">
        <v>18</v>
      </c>
      <c r="L5" s="717"/>
      <c r="M5" s="717"/>
      <c r="N5" s="40"/>
      <c r="O5" s="40"/>
      <c r="P5" s="40"/>
    </row>
    <row r="6" spans="2:16" s="387" customFormat="1">
      <c r="D6" s="54"/>
      <c r="E6" s="55" t="s">
        <v>17</v>
      </c>
      <c r="F6" s="55" t="s">
        <v>16</v>
      </c>
      <c r="G6" s="55" t="s">
        <v>15</v>
      </c>
      <c r="H6" s="436" t="s">
        <v>17</v>
      </c>
      <c r="I6" s="436" t="s">
        <v>16</v>
      </c>
      <c r="J6" s="436" t="s">
        <v>15</v>
      </c>
      <c r="K6" s="436" t="s">
        <v>17</v>
      </c>
      <c r="L6" s="436" t="s">
        <v>16</v>
      </c>
      <c r="M6" s="437" t="s">
        <v>15</v>
      </c>
      <c r="N6" s="40"/>
      <c r="O6" s="40"/>
      <c r="P6" s="40"/>
    </row>
    <row r="7" spans="2:16" s="387" customFormat="1">
      <c r="B7" t="s">
        <v>152</v>
      </c>
      <c r="D7" s="54" t="str">
        <f ca="1">_xll.PALO.DATA("jedoxtest/EU_PM_CUBE02","#_Programme","Langbezeichnung",$B7)</f>
        <v>The European Innovation Council (EIC)</v>
      </c>
      <c r="E7" s="56">
        <f ca="1">H7/$K7</f>
        <v>2.5571763010985054E-2</v>
      </c>
      <c r="F7" s="56">
        <f ca="1">I7/$L7</f>
        <v>2.4201825095980338E-2</v>
      </c>
      <c r="G7" s="444">
        <f ca="1">J7/$M7</f>
        <v>2.2524436889077772E-2</v>
      </c>
      <c r="H7" s="438">
        <f ca="1">_xll.PALO.DATAC("jedoxtest/EU_PM_CUBE02","EUPM_Mittel2_Cube",AT_ExSc_Datenstand,"Alle Beteiligungen","Alle Koordinatoren","Alle Unternehmensgrößen","-2","Alle Organisationstypen",28,"Alle Expertevaluierungsstatus",$B7,"-2",1,"-2","Alle","-2","anzahl_beteiligungen")</f>
        <v>142</v>
      </c>
      <c r="I7" s="439">
        <f ca="1">_xll.PALO.DATAC("jedoxtest/EU_PM_CUBE02","EUPM_Mittel2_Cube",AT_ExSc_Datenstand,"Alle Beteiligungen","Alle Koordinatoren","Alle Unternehmensgrößen","-2","Alle Organisationstypen",28,"Alle Expertevaluierungsstatus",$B7,"-2",1,"-2","Alle","-2","foerderung")/1000000</f>
        <v>99.670759390000001</v>
      </c>
      <c r="J7" s="438">
        <f ca="1">_xll.PALO.DATAC("jedoxtest/EU_PM_CUBE02","EUPM_Mittel2_Cube",AT_ExSc_Datenstand,"Alle Beteiligungen","Alle Koordinatoren","Alle Unternehmensgrößen","-2","Alle Organisationstypen",28,"Alle Expertevaluierungsstatus",$B7,"-2",1,"-2","Alle","-2","anzahl_koordinatoren")</f>
        <v>53</v>
      </c>
      <c r="K7" s="438">
        <f ca="1">_xll.PALO.DATAC("jedoxtest/EU_PM_CUBE02","EUPM_Mittel2_Cube",AT_ExSc_Datenstand,"Alle Beteiligungen","Alle Koordinatoren","Alle Unternehmensgrößen","-2","Alle Organisationstypen",28,"Alle Expertevaluierungsstatus",$B7,"-2",-2,"-2","Alle","-2","anzahl_beteiligungen")</f>
        <v>5553</v>
      </c>
      <c r="L7" s="439">
        <f ca="1">_xll.PALO.DATAC("jedoxtest/EU_PM_CUBE02","EUPM_Mittel2_Cube",AT_ExSc_Datenstand,"Alle Beteiligungen","Alle Koordinatoren","Alle Unternehmensgrößen","-2","Alle Organisationstypen",28,"Alle Expertevaluierungsstatus",$B7,"-2","-2","-2","Alle","-2","foerderung")/1000000</f>
        <v>4118.31582927001</v>
      </c>
      <c r="M7" s="438">
        <f ca="1">_xll.PALO.DATAC("jedoxtest/EU_PM_CUBE02","EUPM_Mittel2_Cube",AT_ExSc_Datenstand,"Alle Beteiligungen","Alle Koordinatoren","Alle Unternehmensgrößen","-2","Alle Organisationstypen",28,"Alle Expertevaluierungsstatus",$B7,"-2",-2,"-2","Alle","-2","anzahl_koordinatoren")</f>
        <v>2353</v>
      </c>
      <c r="N7" s="40"/>
      <c r="O7" s="40"/>
      <c r="P7" s="40"/>
    </row>
    <row r="8" spans="2:16" s="387" customFormat="1">
      <c r="B8" t="s">
        <v>153</v>
      </c>
      <c r="D8" s="54" t="str">
        <f ca="1">_xll.PALO.DATA("jedoxtest/EU_PM_CUBE02","#_Programme","Langbezeichnung",$B8)</f>
        <v>European innovation ecosystems</v>
      </c>
      <c r="E8" s="56">
        <f ca="1">H8/$K8</f>
        <v>1.6903914590747332E-2</v>
      </c>
      <c r="F8" s="56">
        <f ca="1">I8/$L8</f>
        <v>2.7279424691430094E-2</v>
      </c>
      <c r="G8" s="444">
        <f ca="1">J8/$M8</f>
        <v>2.1126760563380281E-2</v>
      </c>
      <c r="H8" s="438">
        <f ca="1">_xll.PALO.DATAC("jedoxtest/EU_PM_CUBE02","EUPM_Mittel2_Cube",AT_ExSc_Datenstand,"Alle Beteiligungen","Alle Koordinatoren","Alle Unternehmensgrößen","-2","Alle Organisationstypen",28,"Alle Expertevaluierungsstatus",$B8,"-2",1,"-2","Alle","-2","anzahl_beteiligungen")</f>
        <v>19</v>
      </c>
      <c r="I8" s="439">
        <f ca="1">_xll.PALO.DATAC("jedoxtest/EU_PM_CUBE02","EUPM_Mittel2_Cube",AT_ExSc_Datenstand,"Alle Beteiligungen","Alle Koordinatoren","Alle Unternehmensgrößen","-2","Alle Organisationstypen",28,"Alle Expertevaluierungsstatus",$B8,"-2",1,"-2","Alle","-2","foerderung")/1000000</f>
        <v>16.633048380000002</v>
      </c>
      <c r="J8" s="438">
        <f ca="1">_xll.PALO.DATAC("jedoxtest/EU_PM_CUBE02","EUPM_Mittel2_Cube",AT_ExSc_Datenstand,"Alle Beteiligungen","Alle Koordinatoren","Alle Unternehmensgrößen","-2","Alle Organisationstypen",28,"Alle Expertevaluierungsstatus",$B8,"-2",1,"-2","Alle","-2","anzahl_koordinatoren")</f>
        <v>6</v>
      </c>
      <c r="K8" s="438">
        <f ca="1">_xll.PALO.DATAC("jedoxtest/EU_PM_CUBE02","EUPM_Mittel2_Cube",AT_ExSc_Datenstand,"Alle Beteiligungen","Alle Koordinatoren","Alle Unternehmensgrößen","-2","Alle Organisationstypen",28,"Alle Expertevaluierungsstatus",$B8,"-2",-2,"-2","Alle","-2","anzahl_beteiligungen")</f>
        <v>1124</v>
      </c>
      <c r="L8" s="439">
        <f ca="1">_xll.PALO.DATAC("jedoxtest/EU_PM_CUBE02","EUPM_Mittel2_Cube",AT_ExSc_Datenstand,"Alle Beteiligungen","Alle Koordinatoren","Alle Unternehmensgrößen","-2","Alle Organisationstypen",28,"Alle Expertevaluierungsstatus",$B8,"-2","-2","-2","Alle","-2","foerderung")/1000000</f>
        <v>609.72870828999999</v>
      </c>
      <c r="M8" s="438">
        <f ca="1">_xll.PALO.DATAC("jedoxtest/EU_PM_CUBE02","EUPM_Mittel2_Cube",AT_ExSc_Datenstand,"Alle Beteiligungen","Alle Koordinatoren","Alle Unternehmensgrößen","-2","Alle Organisationstypen",28,"Alle Expertevaluierungsstatus",$B8,"-2",-2,"-2","Alle","-2","anzahl_koordinatoren")</f>
        <v>284</v>
      </c>
      <c r="N8" s="40"/>
      <c r="O8" s="40"/>
      <c r="P8" s="40"/>
    </row>
    <row r="9" spans="2:16" s="387" customFormat="1">
      <c r="B9" t="s">
        <v>154</v>
      </c>
      <c r="D9" s="54" t="str">
        <f ca="1">_xll.PALO.DATA("jedoxtest/EU_PM_CUBE02","#_Programme","Langbezeichnung",$B9)</f>
        <v>The European Institute of Innovation and Technology (EIT)</v>
      </c>
      <c r="E9" s="56">
        <f ca="1">H9/$K9</f>
        <v>2.6490066225165563E-2</v>
      </c>
      <c r="F9" s="56">
        <f ca="1">I9/$L9</f>
        <v>2.3994840970804113E-3</v>
      </c>
      <c r="G9" s="444">
        <f ca="1">J9/$M9</f>
        <v>0</v>
      </c>
      <c r="H9" s="438">
        <f ca="1">_xll.PALO.DATAC("jedoxtest/EU_PM_CUBE02","EUPM_Mittel2_Cube",AT_ExSc_Datenstand,"Alle Beteiligungen","Alle Koordinatoren","Alle Unternehmensgrößen","-2","Alle Organisationstypen",28,"Alle Expertevaluierungsstatus",$B9,"-2",1,"-2","Alle","-2","anzahl_beteiligungen")</f>
        <v>8</v>
      </c>
      <c r="I9" s="439">
        <f ca="1">_xll.PALO.DATAC("jedoxtest/EU_PM_CUBE02","EUPM_Mittel2_Cube",AT_ExSc_Datenstand,"Alle Beteiligungen","Alle Koordinatoren","Alle Unternehmensgrößen","-2","Alle Organisationstypen",28,"Alle Expertevaluierungsstatus",$B9,"-2",1,"-2","Alle","-2","foerderung")/1000000</f>
        <v>4.0569433400000001</v>
      </c>
      <c r="J9" s="438">
        <f ca="1">_xll.PALO.DATAC("jedoxtest/EU_PM_CUBE02","EUPM_Mittel2_Cube",AT_ExSc_Datenstand,"Alle Beteiligungen","Alle Koordinatoren","Alle Unternehmensgrößen","-2","Alle Organisationstypen",28,"Alle Expertevaluierungsstatus",$B9,"-2",1,"-2","Alle","-2","anzahl_koordinatoren")</f>
        <v>0</v>
      </c>
      <c r="K9" s="438">
        <f ca="1">_xll.PALO.DATAC("jedoxtest/EU_PM_CUBE02","EUPM_Mittel2_Cube",AT_ExSc_Datenstand,"Alle Beteiligungen","Alle Koordinatoren","Alle Unternehmensgrößen","-2","Alle Organisationstypen",28,"Alle Expertevaluierungsstatus",$B9,"-2",-2,"-2","Alle","-2","anzahl_beteiligungen")</f>
        <v>302</v>
      </c>
      <c r="L9" s="439">
        <f ca="1">_xll.PALO.DATAC("jedoxtest/EU_PM_CUBE02","EUPM_Mittel2_Cube",AT_ExSc_Datenstand,"Alle Beteiligungen","Alle Koordinatoren","Alle Unternehmensgrößen","-2","Alle Organisationstypen",28,"Alle Expertevaluierungsstatus",$B9,"-2","-2","-2","Alle","-2","foerderung")/1000000</f>
        <v>1690.7565025899999</v>
      </c>
      <c r="M9" s="438">
        <f ca="1">_xll.PALO.DATAC("jedoxtest/EU_PM_CUBE02","EUPM_Mittel2_Cube",AT_ExSc_Datenstand,"Alle Beteiligungen","Alle Koordinatoren","Alle Unternehmensgrößen","-2","Alle Organisationstypen",28,"Alle Expertevaluierungsstatus",$B9,"-2",-2,"-2","Alle","-2","anzahl_koordinatoren")</f>
        <v>33</v>
      </c>
      <c r="N9" s="40"/>
      <c r="O9" s="40"/>
      <c r="P9" s="40"/>
    </row>
    <row r="10" spans="2:16" s="387" customFormat="1">
      <c r="H10" s="40"/>
      <c r="I10" s="40"/>
      <c r="J10" s="40"/>
      <c r="K10" s="40"/>
      <c r="L10" s="40"/>
      <c r="M10" s="40"/>
      <c r="N10" s="40"/>
      <c r="O10" s="40"/>
      <c r="P10" s="40"/>
    </row>
    <row r="11" spans="2:16" s="387" customFormat="1">
      <c r="B11" t="s">
        <v>151</v>
      </c>
      <c r="D11" s="54" t="str">
        <f ca="1">_xll.PALO.DATA("jedoxtest/EU_PM_CUBE02","#_Programme","Langbezeichnung",$B11)</f>
        <v>Innovative Europe</v>
      </c>
      <c r="E11" s="56">
        <f ca="1">H11/$K11</f>
        <v>2.4215503653818599E-2</v>
      </c>
      <c r="F11" s="56">
        <f ca="1">I11/$L11</f>
        <v>1.8751282421302019E-2</v>
      </c>
      <c r="G11" s="444">
        <f ca="1">J11/$M11</f>
        <v>2.2097378277153558E-2</v>
      </c>
      <c r="H11" s="438">
        <f ca="1">_xll.PALO.DATAC("jedoxtest/EU_PM_CUBE02","EUPM_Mittel2_Cube",AT_ExSc_Datenstand,"Alle Beteiligungen","Alle Koordinatoren","Alle Unternehmensgrößen","-2","Alle Organisationstypen",28,"Alle Expertevaluierungsstatus",$B11,"-2",1,"-2","Alle","-2","anzahl_beteiligungen")</f>
        <v>169</v>
      </c>
      <c r="I11" s="439">
        <f ca="1">_xll.PALO.DATAC("jedoxtest/EU_PM_CUBE02","EUPM_Mittel2_Cube",AT_ExSc_Datenstand,"Alle Beteiligungen","Alle Koordinatoren","Alle Unternehmensgrößen","-2","Alle Organisationstypen",28,"Alle Expertevaluierungsstatus",$B11,"-2",1,"-2","Alle","-2","foerderung")/1000000</f>
        <v>120.36075111</v>
      </c>
      <c r="J11" s="438">
        <f ca="1">_xll.PALO.DATAC("jedoxtest/EU_PM_CUBE02","EUPM_Mittel2_Cube",AT_ExSc_Datenstand,"Alle Beteiligungen","Alle Koordinatoren","Alle Unternehmensgrößen","-2","Alle Organisationstypen",28,"Alle Expertevaluierungsstatus",$B11,"-2",1,"-2","Alle","-2","anzahl_koordinatoren")</f>
        <v>59</v>
      </c>
      <c r="K11" s="438">
        <f ca="1">_xll.PALO.DATAC("jedoxtest/EU_PM_CUBE02","EUPM_Mittel2_Cube",AT_ExSc_Datenstand,"Alle Beteiligungen","Alle Koordinatoren","Alle Unternehmensgrößen","-2","Alle Organisationstypen",28,"Alle Expertevaluierungsstatus",$B11,"-2",-2,"-2","Alle","-2","anzahl_beteiligungen")</f>
        <v>6979</v>
      </c>
      <c r="L11" s="439">
        <f ca="1">_xll.PALO.DATAC("jedoxtest/EU_PM_CUBE02","EUPM_Mittel2_Cube",AT_ExSc_Datenstand,"Alle Beteiligungen","Alle Koordinatoren","Alle Unternehmensgrößen","-2","Alle Organisationstypen",28,"Alle Expertevaluierungsstatus",$B11,"-2","-2","-2","Alle","-2","foerderung")/1000000</f>
        <v>6418.8010401500105</v>
      </c>
      <c r="M11" s="438">
        <f ca="1">_xll.PALO.DATAC("jedoxtest/EU_PM_CUBE02","EUPM_Mittel2_Cube",AT_ExSc_Datenstand,"Alle Beteiligungen","Alle Koordinatoren","Alle Unternehmensgrößen","-2","Alle Organisationstypen",28,"Alle Expertevaluierungsstatus",$B11,"-2",-2,"-2","Alle","-2","anzahl_koordinatoren")</f>
        <v>2670</v>
      </c>
      <c r="N11" s="40"/>
      <c r="O11" s="40"/>
      <c r="P11" s="40"/>
    </row>
    <row r="12" spans="2:16" s="387" customFormat="1">
      <c r="H12" s="40"/>
      <c r="I12" s="40"/>
      <c r="J12" s="40"/>
      <c r="K12" s="40"/>
      <c r="L12" s="40"/>
      <c r="M12" s="40"/>
      <c r="N12" s="40"/>
      <c r="O12" s="40"/>
      <c r="P12" s="40"/>
    </row>
    <row r="13" spans="2:16" s="387" customFormat="1">
      <c r="H13" s="40"/>
      <c r="I13" s="40"/>
      <c r="J13" s="40"/>
      <c r="K13" s="40"/>
      <c r="L13" s="40"/>
      <c r="M13" s="40"/>
      <c r="N13" s="40"/>
      <c r="O13" s="40"/>
      <c r="P13" s="40"/>
    </row>
    <row r="14" spans="2:16" s="387" customFormat="1">
      <c r="H14" s="40"/>
      <c r="I14" s="40"/>
      <c r="J14" s="40"/>
      <c r="K14" s="40"/>
      <c r="L14" s="40"/>
      <c r="M14" s="40"/>
      <c r="N14" s="40"/>
      <c r="O14" s="40"/>
      <c r="P14" s="40"/>
    </row>
    <row r="15" spans="2:16" s="387" customFormat="1">
      <c r="H15" s="40"/>
      <c r="I15" s="40"/>
      <c r="J15" s="40"/>
      <c r="K15" s="40"/>
      <c r="L15" s="40"/>
      <c r="M15" s="40"/>
      <c r="N15" s="40"/>
      <c r="O15" s="40"/>
      <c r="P15" s="40"/>
    </row>
    <row r="16" spans="2:16" s="387" customFormat="1">
      <c r="H16" s="40"/>
      <c r="I16" s="40"/>
      <c r="J16" s="40"/>
      <c r="K16" s="40"/>
      <c r="L16" s="40"/>
      <c r="M16" s="40"/>
      <c r="N16" s="40"/>
      <c r="O16" s="40"/>
      <c r="P16" s="40"/>
    </row>
    <row r="17" spans="2:16" s="387" customFormat="1">
      <c r="H17" s="40"/>
      <c r="I17" s="40"/>
      <c r="J17" s="40"/>
      <c r="K17" s="40"/>
      <c r="L17" s="40"/>
      <c r="M17" s="40"/>
      <c r="N17" s="40"/>
      <c r="O17" s="40"/>
      <c r="P17" s="40"/>
    </row>
    <row r="18" spans="2:16" s="387" customFormat="1">
      <c r="H18" s="40"/>
      <c r="I18" s="40"/>
      <c r="J18" s="40"/>
      <c r="K18" s="40"/>
      <c r="L18" s="40"/>
      <c r="M18" s="40"/>
      <c r="N18" s="40"/>
      <c r="O18" s="40"/>
      <c r="P18" s="40"/>
    </row>
    <row r="19" spans="2:16" s="387" customFormat="1">
      <c r="H19" s="40"/>
      <c r="I19" s="40"/>
      <c r="J19" s="40"/>
      <c r="K19" s="40"/>
      <c r="L19" s="40"/>
      <c r="M19" s="40"/>
      <c r="N19" s="40"/>
      <c r="O19" s="40"/>
      <c r="P19" s="40"/>
    </row>
    <row r="20" spans="2:16" s="387" customFormat="1">
      <c r="H20" s="40"/>
      <c r="I20" s="40"/>
      <c r="J20" s="40"/>
      <c r="K20" s="40"/>
      <c r="L20" s="40"/>
      <c r="M20" s="40"/>
      <c r="N20" s="40"/>
      <c r="O20" s="40"/>
      <c r="P20" s="40"/>
    </row>
    <row r="21" spans="2:16" s="387" customFormat="1"/>
    <row r="22" spans="2:16" s="387" customFormat="1"/>
    <row r="23" spans="2:16" s="387" customFormat="1">
      <c r="D23" s="718"/>
      <c r="E23" s="718"/>
      <c r="F23" s="718"/>
      <c r="G23" s="718"/>
      <c r="H23" s="718"/>
      <c r="I23" s="718"/>
      <c r="J23" s="718"/>
      <c r="K23" s="718"/>
      <c r="L23" s="718"/>
      <c r="M23" s="718"/>
    </row>
    <row r="24" spans="2:16" s="387" customFormat="1">
      <c r="D24" s="55"/>
      <c r="E24" s="55"/>
      <c r="F24" s="55"/>
      <c r="G24" s="55"/>
      <c r="H24" s="55"/>
      <c r="I24" s="55"/>
    </row>
    <row r="25" spans="2:16" s="387" customFormat="1" ht="21">
      <c r="D25" s="713" t="s">
        <v>272</v>
      </c>
      <c r="E25" s="713"/>
      <c r="F25" s="713"/>
      <c r="G25" s="713"/>
      <c r="H25" s="713"/>
      <c r="I25" s="713"/>
      <c r="J25" s="713"/>
      <c r="K25" s="713"/>
      <c r="L25" s="713"/>
      <c r="M25" s="713"/>
      <c r="N25" s="713"/>
    </row>
    <row r="26" spans="2:16" s="387" customFormat="1" ht="18.75">
      <c r="D26" s="60"/>
      <c r="E26" s="60"/>
      <c r="F26" s="60"/>
      <c r="G26" s="60"/>
      <c r="H26" s="60"/>
      <c r="I26" s="60"/>
      <c r="J26" s="60"/>
      <c r="K26" s="60"/>
      <c r="L26" s="60"/>
      <c r="M26" s="53"/>
      <c r="N26" s="53"/>
    </row>
    <row r="27" spans="2:16" s="387" customFormat="1" ht="18.75">
      <c r="B27" t="s">
        <v>152</v>
      </c>
      <c r="D27" s="54" t="str">
        <f ca="1">_xll.PALO.DATA("jedoxtest/EU_PM_CUBE02","#_Programme","Langbezeichnung",$B27)</f>
        <v>The European Innovation Council (EIC)</v>
      </c>
      <c r="E27" s="58">
        <f ca="1">_xll.PALO.DATAC("jedoxtest/EU_PM_CUBE02","EUPM_Mittel2_Cube",AT_ExSc_Datenstand,"Alle Beteiligungen","Alle Koordinatoren","Alle Unternehmensgrößen","-2","Alle Organisationstypen",28,"Alle Expertevaluierungsstatus",$B27,"-2","-2","-2","Alle","-2","foerderung")/1000000</f>
        <v>4118.31582927001</v>
      </c>
      <c r="F27" s="60"/>
      <c r="G27" s="60"/>
      <c r="H27" s="60"/>
      <c r="I27" s="60"/>
      <c r="J27" s="60"/>
      <c r="K27" s="60"/>
      <c r="L27" s="60"/>
      <c r="M27" s="53"/>
      <c r="N27" s="53"/>
    </row>
    <row r="28" spans="2:16" s="387" customFormat="1" ht="18.75">
      <c r="B28" t="s">
        <v>153</v>
      </c>
      <c r="D28" s="54" t="str">
        <f ca="1">_xll.PALO.DATA("jedoxtest/EU_PM_CUBE02","#_Programme","Langbezeichnung",$B28)</f>
        <v>European innovation ecosystems</v>
      </c>
      <c r="E28" s="58">
        <f ca="1">_xll.PALO.DATAC("jedoxtest/EU_PM_CUBE02","EUPM_Mittel2_Cube",AT_ExSc_Datenstand,"Alle Beteiligungen","Alle Koordinatoren","Alle Unternehmensgrößen","-2","Alle Organisationstypen",28,"Alle Expertevaluierungsstatus",$B28,"-2","-2","-2","Alle","-2","foerderung")/1000000</f>
        <v>609.72870828999999</v>
      </c>
      <c r="F28" s="60"/>
      <c r="G28" s="60"/>
      <c r="H28" s="60"/>
      <c r="I28" s="60"/>
      <c r="J28" s="60"/>
      <c r="K28" s="60"/>
      <c r="L28" s="60"/>
      <c r="M28" s="53"/>
      <c r="N28" s="53"/>
    </row>
    <row r="29" spans="2:16" s="387" customFormat="1" ht="18.75">
      <c r="B29" t="s">
        <v>154</v>
      </c>
      <c r="D29" s="54" t="str">
        <f ca="1">_xll.PALO.DATA("jedoxtest/EU_PM_CUBE02","#_Programme","Langbezeichnung",$B29)</f>
        <v>The European Institute of Innovation and Technology (EIT)</v>
      </c>
      <c r="E29" s="58">
        <f ca="1">_xll.PALO.DATAC("jedoxtest/EU_PM_CUBE02","EUPM_Mittel2_Cube",AT_ExSc_Datenstand,"Alle Beteiligungen","Alle Koordinatoren","Alle Unternehmensgrößen","-2","Alle Organisationstypen",28,"Alle Expertevaluierungsstatus",$B29,"-2","-2","-2","Alle","-2","foerderung")/1000000</f>
        <v>1690.7565025899999</v>
      </c>
      <c r="F29" s="60"/>
      <c r="G29" s="60"/>
      <c r="H29" s="60"/>
      <c r="I29" s="60"/>
      <c r="J29" s="60"/>
      <c r="K29" s="60"/>
      <c r="L29" s="60"/>
      <c r="M29" s="53"/>
      <c r="N29" s="53"/>
    </row>
    <row r="30" spans="2:16" s="387" customFormat="1" ht="18.75">
      <c r="D30" s="54"/>
      <c r="E30" s="58"/>
      <c r="F30" s="60"/>
      <c r="G30" s="60"/>
      <c r="H30" s="60"/>
      <c r="I30" s="60"/>
      <c r="J30" s="60"/>
      <c r="K30" s="60"/>
      <c r="L30" s="60"/>
      <c r="M30" s="53"/>
      <c r="N30" s="53"/>
    </row>
    <row r="31" spans="2:16" s="387" customFormat="1" ht="18.75">
      <c r="B31" t="s">
        <v>151</v>
      </c>
      <c r="D31" s="54" t="str">
        <f ca="1">_xll.PALO.DATA("jedoxtest/EU_PM_CUBE02","#_Programme","Langbezeichnung",$B31)</f>
        <v>Innovative Europe</v>
      </c>
      <c r="E31" s="58">
        <f ca="1">_xll.PALO.DATAC("jedoxtest/EU_PM_CUBE02","EUPM_Mittel2_Cube",AT_ExSc_Datenstand,"Alle Beteiligungen","Alle Koordinatoren","Alle Unternehmensgrößen","-2","Alle Organisationstypen",28,"Alle Expertevaluierungsstatus",$B31,"-2","-2","-2","Alle","-2","foerderung")/1000000</f>
        <v>6418.8010401500105</v>
      </c>
      <c r="F31" s="60"/>
      <c r="G31" s="60"/>
      <c r="H31" s="60"/>
      <c r="I31" s="60"/>
      <c r="J31" s="60"/>
      <c r="K31" s="60"/>
      <c r="L31" s="60"/>
      <c r="M31" s="53"/>
      <c r="N31" s="53"/>
    </row>
    <row r="32" spans="2:16" s="387" customFormat="1">
      <c r="D32" s="60"/>
      <c r="E32" s="60"/>
      <c r="F32" s="60"/>
      <c r="G32" s="60"/>
      <c r="H32" s="60"/>
      <c r="I32" s="60"/>
      <c r="J32" s="60"/>
      <c r="K32" s="60"/>
      <c r="L32" s="60"/>
    </row>
    <row r="33" spans="1:15" s="387" customFormat="1">
      <c r="D33" s="60"/>
      <c r="E33" s="60"/>
      <c r="F33" s="60"/>
      <c r="G33" s="60"/>
      <c r="H33" s="60"/>
      <c r="I33" s="60"/>
      <c r="J33" s="60"/>
      <c r="K33" s="60"/>
      <c r="L33" s="60"/>
    </row>
    <row r="34" spans="1:15" s="387" customFormat="1">
      <c r="D34" s="718"/>
      <c r="E34" s="718"/>
      <c r="F34" s="718"/>
      <c r="G34" s="718"/>
      <c r="H34" s="718"/>
      <c r="I34" s="718"/>
      <c r="J34" s="718"/>
      <c r="K34" s="718"/>
      <c r="L34" s="718"/>
      <c r="M34" s="718"/>
    </row>
    <row r="35" spans="1:15" s="387" customFormat="1"/>
    <row r="36" spans="1:15" s="387" customFormat="1" ht="21">
      <c r="D36" s="713" t="str">
        <f ca="1">"Österreich in "&amp;$D$11</f>
        <v>Österreich in Innovative Europe</v>
      </c>
      <c r="E36" s="713"/>
      <c r="F36" s="713"/>
      <c r="G36" s="713"/>
      <c r="H36" s="713"/>
      <c r="I36" s="713"/>
      <c r="J36" s="713"/>
      <c r="K36" s="713"/>
      <c r="L36" s="713"/>
      <c r="M36" s="713"/>
      <c r="N36" s="713"/>
    </row>
    <row r="37" spans="1:15" s="387" customFormat="1" ht="18.75" hidden="1">
      <c r="D37" s="52"/>
      <c r="E37" s="52"/>
      <c r="F37" s="52"/>
      <c r="G37" s="52"/>
      <c r="H37" s="52"/>
      <c r="I37" s="52"/>
      <c r="J37" s="53"/>
      <c r="K37" s="53"/>
      <c r="L37" s="53"/>
      <c r="M37" s="53"/>
      <c r="N37" s="53"/>
    </row>
    <row r="38" spans="1:15" hidden="1">
      <c r="D38" s="39"/>
      <c r="E38" s="39"/>
      <c r="F38" s="39" t="s">
        <v>57</v>
      </c>
      <c r="G38" s="39"/>
      <c r="H38" s="39" t="s">
        <v>59</v>
      </c>
      <c r="I38" s="39"/>
      <c r="J38" s="39" t="s">
        <v>58</v>
      </c>
      <c r="K38" s="39"/>
      <c r="L38" s="39"/>
      <c r="M38" s="39"/>
    </row>
    <row r="39" spans="1:15" ht="37.5" customHeight="1">
      <c r="A39" s="387"/>
      <c r="B39" s="387"/>
      <c r="D39" s="118"/>
      <c r="E39" s="118"/>
      <c r="F39" s="714" t="str">
        <f>UPPER("Beteiligungen")</f>
        <v>BETEILIGUNGEN</v>
      </c>
      <c r="G39" s="714"/>
      <c r="H39" s="714" t="str">
        <f>UPPER("davon in Koordinationsrolle")</f>
        <v>DAVON IN KOORDINATIONSROLLE</v>
      </c>
      <c r="I39" s="714"/>
      <c r="J39" s="714" t="str">
        <f>UPPER("Förderungen")</f>
        <v>FÖRDERUNGEN</v>
      </c>
      <c r="K39" s="714"/>
      <c r="L39" s="390" t="s">
        <v>13</v>
      </c>
      <c r="M39" s="390" t="str">
        <f>UPPER("Erfolgsquote der Beteiligung")</f>
        <v>ERFOLGSQUOTE DER BETEILIGUNG</v>
      </c>
    </row>
    <row r="40" spans="1:15" ht="15.75">
      <c r="B40" t="s">
        <v>151</v>
      </c>
      <c r="D40" s="281" t="str">
        <f ca="1">_xll.PALO.DATA("jedoxtest/EU_PM_CUBE02","#_Programme","Langbezeichnung",B40)</f>
        <v>Innovative Europe</v>
      </c>
      <c r="E40" s="281"/>
      <c r="F40" s="715">
        <f ca="1">_xll.PALO.DATAC("jedoxtest/EU_PM_CUBE02","EUPM_Mittel2_Cube",AT_ExSc_Datenstand,"Alle Beteiligungen","Alle Koordinatoren","Alle Unternehmensgrößen","-2","Alle Organisationstypen",28,"Alle Expertevaluierungsstatus",$B$40,"-2",1,"-2","Alle","-2","anzahl_beteiligungen")</f>
        <v>169</v>
      </c>
      <c r="G40" s="715"/>
      <c r="H40" s="715">
        <f ca="1">_xll.PALO.DATAC("jedoxtest/EU_PM_CUBE02","EUPM_Mittel2_Cube",AT_ExSc_Datenstand,"Alle Beteiligungen","Alle Koordinatoren","Alle Unternehmensgrößen","-2","Alle Organisationstypen",28,"Alle Expertevaluierungsstatus",$B$40,"-2",1,"-2","Alle","-2","anzahl_koordinatoren")</f>
        <v>59</v>
      </c>
      <c r="I40" s="715"/>
      <c r="J40" s="715">
        <f ca="1">_xll.PALO.DATAC("jedoxtest/EU_PM_CUBE02","EUPM_Mittel2_Cube",AT_ExSc_Datenstand,"Alle Beteiligungen","Alle Koordinatoren","Alle Unternehmensgrößen","-2","Alle Organisationstypen",28,"Alle Expertevaluierungsstatus",$B$40,"-2",1,"-2","Alle","-2","foerderung")</f>
        <v>120360751.11</v>
      </c>
      <c r="K40" s="715"/>
      <c r="L40" s="388">
        <f ca="1">_xll.PALO.DATAC("jedoxtest/EU_PM_CUBE02","EUPM_Mittel2_Cube",AT_ExSc_Datenstand,"Alle Beteiligungen","Alle Koordinatoren","Alle Unternehmensgrößen","-2","Alle Organisationstypen",5,"Alle Expertevaluierungsstatus",$B$40,"-2",1,"-2","Alle","-2","anzahl_beteiligungen")</f>
        <v>1854</v>
      </c>
      <c r="M40" s="568">
        <f ca="1">_xll.PALO.DATAC("jedoxtest/EU_PM_CUBE02","EUPM_Mittel2_Cube",AT_ExSc_Datenstand,"Alle Beteiligungen","Alle Koordinatoren","Alle Unternehmensgrößen","-2","Alle Organisationstypen",14,"Alle Expertevaluierungsstatus",$B40,"-2",1,"-2","Alle","-2","anzahl_beteiligungen")/_xll.PALO.DATAC("jedoxtest/EU_PM_CUBE02","EUPM_Mittel2_Cube",AT_ExSc_Datenstand,"Alle Beteiligungen","Alle Koordinatoren","Alle Unternehmensgrößen","-2","Alle Organisationstypen",5,"Alle Expertevaluierungsstatus",$B40,"-2",1,"-2","Alle","-2","anzahl_beteiligungen")</f>
        <v>0.10140237324703344</v>
      </c>
    </row>
    <row r="41" spans="1:15" s="62" customFormat="1">
      <c r="B41" t="s">
        <v>152</v>
      </c>
      <c r="C41" s="386"/>
      <c r="D41" s="166" t="str">
        <f ca="1">_xll.PALO.DATA("jedoxtest/EU_PM_CUBE02","#_Programme","Langbezeichnung",$B41)</f>
        <v>The European Innovation Council (EIC)</v>
      </c>
      <c r="E41" s="150"/>
      <c r="F41" s="709">
        <f ca="1">_xll.PALO.DATAC("jedoxtest/EU_PM_CUBE02","EUPM_Mittel2_Cube",AT_ExSc_Datenstand,"Alle Beteiligungen","Alle Koordinatoren","Alle Unternehmensgrößen","-2","Alle Organisationstypen",28,"Alle Expertevaluierungsstatus",$B41,"-2",1,"-2","Alle","-2",F$38)</f>
        <v>142</v>
      </c>
      <c r="G41" s="709"/>
      <c r="H41" s="709">
        <f ca="1">_xll.PALO.DATAC("jedoxtest/EU_PM_CUBE02","EUPM_Mittel2_Cube",AT_ExSc_Datenstand,"Alle Beteiligungen","Alle Koordinatoren","Alle Unternehmensgrößen","-2","Alle Organisationstypen",28,"Alle Expertevaluierungsstatus",$B41,"-2",1,"-2","Alle","-2",H$38)</f>
        <v>53</v>
      </c>
      <c r="I41" s="709"/>
      <c r="J41" s="709">
        <f ca="1">_xll.PALO.DATAC("jedoxtest/EU_PM_CUBE02","EUPM_Mittel2_Cube",AT_ExSc_Datenstand,"Alle Beteiligungen","Alle Koordinatoren","Alle Unternehmensgrößen","-2","Alle Organisationstypen",28,"Alle Expertevaluierungsstatus",$B41,"-2",1,"-2","Alle","-2",J$38)</f>
        <v>99670759.390000001</v>
      </c>
      <c r="K41" s="709"/>
      <c r="L41" s="389">
        <f ca="1">_xll.PALO.DATAC("jedoxtest/EU_PM_CUBE02","EUPM_Mittel2_Cube",AT_ExSc_Datenstand,"Alle Beteiligungen","Alle Koordinatoren","Alle Unternehmensgrößen","-2","Alle Organisationstypen",5,"Alle Expertevaluierungsstatus",$B41,"-2",1,"-2","Alle","-2","anzahl_beteiligungen")</f>
        <v>1707</v>
      </c>
      <c r="M41" s="567">
        <f ca="1">_xll.PALO.DATAC("jedoxtest/EU_PM_CUBE02","EUPM_Mittel2_Cube",AT_ExSc_Datenstand,"Alle Beteiligungen","Alle Koordinatoren","Alle Unternehmensgrößen","-2","Alle Organisationstypen",14,"Alle Expertevaluierungsstatus",$B41,"-2",1,"-2","Alle","-2","anzahl_beteiligungen")/_xll.PALO.DATAC("jedoxtest/EU_PM_CUBE02","EUPM_Mittel2_Cube",AT_ExSc_Datenstand,"Alle Beteiligungen","Alle Koordinatoren","Alle Unternehmensgrößen","-2","Alle Organisationstypen",5,"Alle Expertevaluierungsstatus",$B41,"-2",1,"-2","Alle","-2","anzahl_beteiligungen")</f>
        <v>9.0802577621558286E-2</v>
      </c>
      <c r="N41" s="386"/>
      <c r="O41" s="386"/>
    </row>
    <row r="42" spans="1:15" s="62" customFormat="1">
      <c r="B42" t="s">
        <v>153</v>
      </c>
      <c r="C42" s="386"/>
      <c r="D42" s="167" t="str">
        <f ca="1">_xll.PALO.DATA("jedoxtest/EU_PM_CUBE02","#_Programme","Langbezeichnung",$B42)</f>
        <v>European innovation ecosystems</v>
      </c>
      <c r="E42" s="152"/>
      <c r="F42" s="709">
        <f ca="1">_xll.PALO.DATAC("jedoxtest/EU_PM_CUBE02","EUPM_Mittel2_Cube",AT_ExSc_Datenstand,"Alle Beteiligungen","Alle Koordinatoren","Alle Unternehmensgrößen","-2","Alle Organisationstypen",28,"Alle Expertevaluierungsstatus",$B42,"-2",1,"-2","Alle","-2",F$38)</f>
        <v>19</v>
      </c>
      <c r="G42" s="709"/>
      <c r="H42" s="709">
        <f ca="1">_xll.PALO.DATAC("jedoxtest/EU_PM_CUBE02","EUPM_Mittel2_Cube",AT_ExSc_Datenstand,"Alle Beteiligungen","Alle Koordinatoren","Alle Unternehmensgrößen","-2","Alle Organisationstypen",28,"Alle Expertevaluierungsstatus",$B42,"-2",1,"-2","Alle","-2",H$38)</f>
        <v>6</v>
      </c>
      <c r="I42" s="709"/>
      <c r="J42" s="709">
        <f ca="1">_xll.PALO.DATAC("jedoxtest/EU_PM_CUBE02","EUPM_Mittel2_Cube",AT_ExSc_Datenstand,"Alle Beteiligungen","Alle Koordinatoren","Alle Unternehmensgrößen","-2","Alle Organisationstypen",28,"Alle Expertevaluierungsstatus",$B42,"-2",1,"-2","Alle","-2",J$38)</f>
        <v>16633048.380000001</v>
      </c>
      <c r="K42" s="709"/>
      <c r="L42" s="389">
        <f ca="1">_xll.PALO.DATAC("jedoxtest/EU_PM_CUBE02","EUPM_Mittel2_Cube",AT_ExSc_Datenstand,"Alle Beteiligungen","Alle Koordinatoren","Alle Unternehmensgrößen","-2","Alle Organisationstypen",5,"Alle Expertevaluierungsstatus",$B42,"-2",1,"-2","Alle","-2","anzahl_beteiligungen")</f>
        <v>139</v>
      </c>
      <c r="M42" s="566">
        <f ca="1">_xll.PALO.DATAC("jedoxtest/EU_PM_CUBE02","EUPM_Mittel2_Cube",AT_ExSc_Datenstand,"Alle Beteiligungen","Alle Koordinatoren","Alle Unternehmensgrößen","-2","Alle Organisationstypen",14,"Alle Expertevaluierungsstatus",$B42,"-2",1,"-2","Alle","-2","anzahl_beteiligungen")/_xll.PALO.DATAC("jedoxtest/EU_PM_CUBE02","EUPM_Mittel2_Cube",AT_ExSc_Datenstand,"Alle Beteiligungen","Alle Koordinatoren","Alle Unternehmensgrößen","-2","Alle Organisationstypen",5,"Alle Expertevaluierungsstatus",$B42,"-2",1,"-2","Alle","-2","anzahl_beteiligungen")</f>
        <v>0.18705035971223022</v>
      </c>
      <c r="N42" s="386"/>
      <c r="O42" s="386"/>
    </row>
    <row r="43" spans="1:15" s="62" customFormat="1" ht="32.25" customHeight="1">
      <c r="B43" t="s">
        <v>154</v>
      </c>
      <c r="C43" s="386"/>
      <c r="D43" s="730" t="str">
        <f ca="1">_xll.PALO.DATA("jedoxtest/EU_PM_CUBE02","#_Programme","Langbezeichnung",$B43)</f>
        <v>The European Institute of Innovation and Technology (EIT)</v>
      </c>
      <c r="E43" s="730"/>
      <c r="F43" s="725">
        <f ca="1">_xll.PALO.DATAC("jedoxtest/EU_PM_CUBE02","EUPM_Mittel2_Cube",AT_ExSc_Datenstand,"Alle Beteiligungen","Alle Koordinatoren","Alle Unternehmensgrößen","-2","Alle Organisationstypen",28,"Alle Expertevaluierungsstatus",$B43,"-2",1,"-2","Alle","-2",F$38)</f>
        <v>8</v>
      </c>
      <c r="G43" s="725"/>
      <c r="H43" s="725">
        <f ca="1">_xll.PALO.DATAC("jedoxtest/EU_PM_CUBE02","EUPM_Mittel2_Cube",AT_ExSc_Datenstand,"Alle Beteiligungen","Alle Koordinatoren","Alle Unternehmensgrößen","-2","Alle Organisationstypen",28,"Alle Expertevaluierungsstatus",$B43,"-2",1,"-2","Alle","-2",H$38)</f>
        <v>0</v>
      </c>
      <c r="I43" s="725"/>
      <c r="J43" s="725">
        <f ca="1">_xll.PALO.DATAC("jedoxtest/EU_PM_CUBE02","EUPM_Mittel2_Cube",AT_ExSc_Datenstand,"Alle Beteiligungen","Alle Koordinatoren","Alle Unternehmensgrößen","-2","Alle Organisationstypen",28,"Alle Expertevaluierungsstatus",$B43,"-2",1,"-2","Alle","-2",J$38)</f>
        <v>4056943.34</v>
      </c>
      <c r="K43" s="725"/>
      <c r="L43" s="396">
        <f ca="1">_xll.PALO.DATAC("jedoxtest/EU_PM_CUBE02","EUPM_Mittel2_Cube",AT_ExSc_Datenstand,"Alle Beteiligungen","Alle Koordinatoren","Alle Unternehmensgrößen","-2","Alle Organisationstypen",5,"Alle Expertevaluierungsstatus",$B43,"-2",1,"-2","Alle","-2","anzahl_beteiligungen")</f>
        <v>8</v>
      </c>
      <c r="M43" s="569">
        <f ca="1">_xll.PALO.DATAC("jedoxtest/EU_PM_CUBE02","EUPM_Mittel2_Cube",AT_ExSc_Datenstand,"Alle Beteiligungen","Alle Koordinatoren","Alle Unternehmensgrößen","-2","Alle Organisationstypen",14,"Alle Expertevaluierungsstatus",$B43,"-2",1,"-2","Alle","-2","anzahl_beteiligungen")/_xll.PALO.DATAC("jedoxtest/EU_PM_CUBE02","EUPM_Mittel2_Cube",AT_ExSc_Datenstand,"Alle Beteiligungen","Alle Koordinatoren","Alle Unternehmensgrößen","-2","Alle Organisationstypen",5,"Alle Expertevaluierungsstatus",$B43,"-2",1,"-2","Alle","-2","anzahl_beteiligungen")</f>
        <v>0.875</v>
      </c>
      <c r="N43" s="386"/>
      <c r="O43" s="386"/>
    </row>
    <row r="44" spans="1:15" s="386" customFormat="1"/>
    <row r="45" spans="1:15" s="386" customFormat="1">
      <c r="K45" s="705" t="str">
        <f ca="1">"Quelle: EC "&amp;_xll.PALO.DATA("jedoxtest/EU_PM_CUBE02","#_Datenstand","reference_month",AT_ExSc_Datenstand)&amp;"/"&amp;_xll.PALO.DATA("jedoxtest/EU_PM_CUBE02","#_Datenstand","reference_year",AT_ExSc_Datenstand)&amp;"; Darstellung FFG"</f>
        <v>Quelle: EC 5/2026; Darstellung FFG</v>
      </c>
      <c r="L45" s="706"/>
      <c r="M45" s="706"/>
      <c r="N45" s="706"/>
    </row>
    <row r="46" spans="1:15" s="386" customFormat="1" hidden="1">
      <c r="K46" s="705"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L46" s="705"/>
      <c r="M46" s="705"/>
      <c r="N46" s="705"/>
    </row>
    <row r="47" spans="1:15" s="387" customFormat="1"/>
    <row r="48" spans="1:15" s="387" customFormat="1"/>
    <row r="49" spans="1:5" s="387" customFormat="1"/>
    <row r="51" spans="1:5" hidden="1">
      <c r="A51" s="61" t="b">
        <f ca="1">_xll.PALO.HIDEROW(ISBLANK($A$1))</f>
        <v>1</v>
      </c>
      <c r="D51" s="61" t="s">
        <v>11</v>
      </c>
      <c r="E51" s="61" t="str">
        <f ca="1">_xll.PALO.ENAME("jedoxtest/EU_PM_CUBE02","Datenstand",3)</f>
        <v>117</v>
      </c>
    </row>
  </sheetData>
  <mergeCells count="30">
    <mergeCell ref="K45:N45"/>
    <mergeCell ref="K46:N46"/>
    <mergeCell ref="D43:E43"/>
    <mergeCell ref="F42:G42"/>
    <mergeCell ref="H42:I42"/>
    <mergeCell ref="J42:K42"/>
    <mergeCell ref="F43:G43"/>
    <mergeCell ref="H43:I43"/>
    <mergeCell ref="J43:K43"/>
    <mergeCell ref="F40:G40"/>
    <mergeCell ref="H40:I40"/>
    <mergeCell ref="J40:K40"/>
    <mergeCell ref="F41:G41"/>
    <mergeCell ref="H41:I41"/>
    <mergeCell ref="J41:K41"/>
    <mergeCell ref="D23:M23"/>
    <mergeCell ref="D25:N25"/>
    <mergeCell ref="D34:M34"/>
    <mergeCell ref="D36:N36"/>
    <mergeCell ref="F39:G39"/>
    <mergeCell ref="H39:I39"/>
    <mergeCell ref="J39:K39"/>
    <mergeCell ref="D2:N2"/>
    <mergeCell ref="E4:G4"/>
    <mergeCell ref="H4:J4"/>
    <mergeCell ref="K4:M4"/>
    <mergeCell ref="E5:G5"/>
    <mergeCell ref="H5:J5"/>
    <mergeCell ref="K5:M5"/>
    <mergeCell ref="D3:M3"/>
  </mergeCells>
  <conditionalFormatting sqref="D41:D43">
    <cfRule type="expression" dxfId="101" priority="13">
      <formula>E41=5</formula>
    </cfRule>
  </conditionalFormatting>
  <conditionalFormatting sqref="D40:E40">
    <cfRule type="expression" dxfId="100" priority="11">
      <formula>E40=5</formula>
    </cfRule>
  </conditionalFormatting>
  <conditionalFormatting sqref="D41:F41 D42:E42 D43">
    <cfRule type="expression" dxfId="99" priority="14">
      <formula>$E41=4</formula>
    </cfRule>
  </conditionalFormatting>
  <conditionalFormatting sqref="D40:L40">
    <cfRule type="expression" dxfId="98" priority="12">
      <formula>$E40=4</formula>
    </cfRule>
  </conditionalFormatting>
  <conditionalFormatting sqref="H41:H43">
    <cfRule type="expression" dxfId="97" priority="4">
      <formula>$E41=4</formula>
    </cfRule>
  </conditionalFormatting>
  <conditionalFormatting sqref="J41:J43">
    <cfRule type="expression" dxfId="96" priority="3">
      <formula>$E41=4</formula>
    </cfRule>
  </conditionalFormatting>
  <conditionalFormatting sqref="L41:L43 F42:F43">
    <cfRule type="expression" dxfId="95" priority="5">
      <formula>$E41=4</formula>
    </cfRule>
  </conditionalFormatting>
  <conditionalFormatting sqref="M40:M43">
    <cfRule type="expression" dxfId="94" priority="1">
      <formula>$E40=4</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Y345"/>
  <sheetViews>
    <sheetView zoomScale="90" zoomScaleNormal="90" workbookViewId="0"/>
  </sheetViews>
  <sheetFormatPr baseColWidth="10" defaultRowHeight="15"/>
  <cols>
    <col min="4" max="4" width="38.5703125" customWidth="1"/>
    <col min="5" max="7" width="18.7109375" customWidth="1"/>
    <col min="10" max="10" width="11.42578125" customWidth="1"/>
    <col min="11" max="16" width="10.85546875" customWidth="1"/>
    <col min="17" max="17" width="11.42578125" customWidth="1"/>
    <col min="18" max="18" width="5.85546875" style="584" customWidth="1"/>
    <col min="19" max="19" width="12.85546875" style="584" customWidth="1"/>
    <col min="20" max="20" width="46.140625" style="584" customWidth="1"/>
    <col min="21" max="22" width="11.5703125" style="584" bestFit="1" customWidth="1"/>
    <col min="23" max="23" width="11.5703125" style="584" customWidth="1"/>
    <col min="24" max="24" width="15.42578125" style="584" bestFit="1" customWidth="1"/>
  </cols>
  <sheetData>
    <row r="1" spans="1:25">
      <c r="A1" s="526"/>
      <c r="B1" s="605" t="s">
        <v>325</v>
      </c>
      <c r="Q1" s="614" t="s">
        <v>343</v>
      </c>
    </row>
    <row r="2" spans="1:25" ht="21">
      <c r="B2" s="526" t="s">
        <v>331</v>
      </c>
      <c r="D2" s="727" t="s">
        <v>326</v>
      </c>
      <c r="E2" s="727"/>
      <c r="F2" s="727"/>
      <c r="G2" s="727"/>
    </row>
    <row r="3" spans="1:25" ht="63" customHeight="1">
      <c r="D3" s="731" t="s">
        <v>327</v>
      </c>
      <c r="E3" s="731"/>
      <c r="F3" s="731"/>
      <c r="G3" s="731"/>
      <c r="R3"/>
      <c r="S3"/>
      <c r="T3"/>
      <c r="U3"/>
      <c r="V3"/>
      <c r="W3"/>
    </row>
    <row r="4" spans="1:25" s="584" customFormat="1" hidden="1">
      <c r="A4" s="614" t="b">
        <f ca="1">_xll.PALO.HIDEROW(ISBLANK($A$1))</f>
        <v>1</v>
      </c>
      <c r="C4" s="526"/>
      <c r="D4" s="517"/>
      <c r="E4" s="589" t="s">
        <v>17</v>
      </c>
      <c r="F4" s="589" t="s">
        <v>16</v>
      </c>
      <c r="G4" s="589" t="s">
        <v>15</v>
      </c>
      <c r="H4"/>
      <c r="I4"/>
      <c r="J4"/>
      <c r="K4"/>
      <c r="L4"/>
      <c r="M4"/>
      <c r="N4"/>
      <c r="O4"/>
      <c r="P4"/>
      <c r="Q4"/>
      <c r="R4"/>
      <c r="S4"/>
      <c r="T4"/>
      <c r="U4"/>
      <c r="V4"/>
      <c r="W4"/>
    </row>
    <row r="5" spans="1:25" s="584" customFormat="1" hidden="1">
      <c r="A5" s="614" t="b">
        <f ca="1">_xll.PALO.HIDEROW(ISBLANK($A$1))</f>
        <v>1</v>
      </c>
      <c r="C5" s="584">
        <v>6153</v>
      </c>
      <c r="D5" s="590" t="str">
        <f ca="1">_xll.PALO.DATA("jedoxtest/EU_PM_CUBE02","#_Programme","Langbezeichnung",$C5)</f>
        <v>Innovative Europe</v>
      </c>
      <c r="E5" s="591">
        <f ca="1">_xll.PALO.DATAC("jedoxtest/EU_PM_CUBE02","EUPM_Mittel2_Cube",AT_ExSc_Datenstand,"Alle Beteiligungen","Alle Koordinatoren","Alle Unternehmensgrößen","-2","Alle Organisationstypen",28,"Alle Expertevaluierungsstatus",$C5,"-2",1,"-2","Alle","-2",E$7)</f>
        <v>169</v>
      </c>
      <c r="F5" s="591">
        <f ca="1">_xll.PALO.DATAC("jedoxtest/EU_PM_CUBE02","EUPM_Mittel2_Cube",AT_ExSc_Datenstand,"Alle Beteiligungen","Alle Koordinatoren","Alle Unternehmensgrößen","-2","Alle Organisationstypen",28,"Alle Expertevaluierungsstatus",$C5,"-2",1,"-2","Alle","-2",F$7)</f>
        <v>120360751.11</v>
      </c>
      <c r="G5" s="591">
        <f ca="1">_xll.PALO.DATAC("jedoxtest/EU_PM_CUBE02","EUPM_Mittel2_Cube",AT_ExSc_Datenstand,"Alle Beteiligungen","Alle Koordinatoren","Alle Unternehmensgrößen","-2","Alle Organisationstypen",28,"Alle Expertevaluierungsstatus",$C5,"-2",1,"-2","Alle","-2",G$7)</f>
        <v>59</v>
      </c>
      <c r="H5"/>
      <c r="I5"/>
      <c r="J5"/>
      <c r="K5"/>
      <c r="L5"/>
      <c r="M5"/>
      <c r="N5"/>
      <c r="O5"/>
      <c r="P5"/>
      <c r="Q5"/>
      <c r="R5"/>
      <c r="S5"/>
      <c r="T5"/>
      <c r="U5"/>
      <c r="V5"/>
      <c r="W5"/>
    </row>
    <row r="6" spans="1:25" s="584" customFormat="1" hidden="1">
      <c r="A6" s="614" t="b">
        <f ca="1">_xll.PALO.HIDEROW(ISBLANK($A$1))</f>
        <v>1</v>
      </c>
      <c r="C6" s="526"/>
      <c r="D6" s="526"/>
      <c r="E6" s="526"/>
      <c r="F6" s="526"/>
      <c r="G6" s="526"/>
      <c r="H6"/>
      <c r="I6"/>
      <c r="J6"/>
      <c r="K6"/>
      <c r="L6"/>
      <c r="M6"/>
      <c r="N6"/>
      <c r="O6"/>
      <c r="P6"/>
      <c r="Q6"/>
      <c r="R6"/>
      <c r="S6"/>
      <c r="T6"/>
      <c r="U6"/>
      <c r="V6"/>
      <c r="W6"/>
    </row>
    <row r="7" spans="1:25" s="584" customFormat="1" hidden="1">
      <c r="A7" s="614" t="b">
        <f ca="1">_xll.PALO.HIDEROW(ISBLANK($A$1))</f>
        <v>1</v>
      </c>
      <c r="C7" s="526"/>
      <c r="D7" s="526"/>
      <c r="E7" s="584" t="s">
        <v>57</v>
      </c>
      <c r="F7" s="584" t="s">
        <v>58</v>
      </c>
      <c r="G7" s="584" t="s">
        <v>59</v>
      </c>
      <c r="H7"/>
      <c r="I7"/>
      <c r="J7"/>
      <c r="K7"/>
      <c r="L7"/>
      <c r="M7"/>
      <c r="N7"/>
      <c r="O7"/>
      <c r="P7"/>
      <c r="Q7"/>
      <c r="R7"/>
      <c r="S7"/>
      <c r="T7"/>
      <c r="U7"/>
      <c r="V7"/>
      <c r="W7"/>
    </row>
    <row r="8" spans="1:25" s="584" customFormat="1" ht="14.1" customHeight="1">
      <c r="A8" s="614"/>
      <c r="C8" s="526"/>
      <c r="D8" s="526"/>
      <c r="H8"/>
      <c r="I8"/>
      <c r="J8"/>
      <c r="K8"/>
      <c r="L8"/>
      <c r="M8"/>
      <c r="N8"/>
      <c r="O8"/>
      <c r="P8"/>
      <c r="Q8"/>
      <c r="R8"/>
      <c r="S8"/>
      <c r="T8"/>
      <c r="U8"/>
      <c r="V8"/>
      <c r="W8"/>
    </row>
    <row r="9" spans="1:25" s="584" customFormat="1" ht="21.75" customHeight="1">
      <c r="C9" s="526"/>
      <c r="D9" s="517"/>
      <c r="E9" s="589" t="s">
        <v>1</v>
      </c>
      <c r="F9" s="589" t="s">
        <v>109</v>
      </c>
      <c r="G9" s="589" t="s">
        <v>3</v>
      </c>
      <c r="H9"/>
      <c r="I9"/>
      <c r="J9"/>
      <c r="K9"/>
      <c r="L9"/>
      <c r="M9"/>
      <c r="N9"/>
      <c r="O9"/>
      <c r="P9"/>
      <c r="Q9"/>
      <c r="R9"/>
      <c r="S9"/>
      <c r="T9"/>
      <c r="U9"/>
      <c r="V9"/>
      <c r="W9"/>
    </row>
    <row r="10" spans="1:25" s="584" customFormat="1">
      <c r="C10" s="584" t="s">
        <v>152</v>
      </c>
      <c r="D10" s="607" t="str">
        <f ca="1">_xll.PALO.DATA("jedoxtest/EU_PM_CUBE02","#_Programme","Langbezeichnung",$C10)</f>
        <v>The European Innovation Council (EIC)</v>
      </c>
      <c r="E10" s="598">
        <f ca="1">_xll.PALO.DATAC("jedoxtest/EU_PM_CUBE02","EUPM_Mittel2_Cube",AT_ExSc_Datenstand,"Alle Beteiligungen","Alle Koordinatoren","Alle Unternehmensgrößen","-2","Alle Organisationstypen",28,"Alle Expertevaluierungsstatus",$C10,"-2",1,"-2","Alle","-2",E$7)</f>
        <v>142</v>
      </c>
      <c r="F10" s="598">
        <f ca="1">_xll.PALO.DATAC("jedoxtest/EU_PM_CUBE02","EUPM_Mittel2_Cube",AT_ExSc_Datenstand,"Alle Beteiligungen","Alle Koordinatoren","Alle Unternehmensgrößen","-2","Alle Organisationstypen",28,"Alle Expertevaluierungsstatus",$C10,"-2",1,"-2","Alle","-2",F$7)</f>
        <v>99670759.390000001</v>
      </c>
      <c r="G10" s="598">
        <f ca="1">_xll.PALO.DATAC("jedoxtest/EU_PM_CUBE02","EUPM_Mittel2_Cube",AT_ExSc_Datenstand,"Alle Beteiligungen","Alle Koordinatoren","Alle Unternehmensgrößen","-2","Alle Organisationstypen",28,"Alle Expertevaluierungsstatus",$C10,"-2",1,"-2","Alle","-2",G$7)</f>
        <v>53</v>
      </c>
      <c r="H10"/>
      <c r="I10" s="601">
        <f ca="1">E11+E23+E31+E43</f>
        <v>142</v>
      </c>
      <c r="Q10" s="584" t="b">
        <f ca="1">I10=E10</f>
        <v>1</v>
      </c>
      <c r="R10"/>
      <c r="S10"/>
      <c r="T10"/>
      <c r="U10"/>
      <c r="V10"/>
      <c r="W10"/>
    </row>
    <row r="11" spans="1:25" s="584" customFormat="1">
      <c r="D11" s="608" t="str">
        <f>T11</f>
        <v>Pathfinder</v>
      </c>
      <c r="E11" s="609">
        <f ca="1">SUM(E12:E20)</f>
        <v>89</v>
      </c>
      <c r="F11" s="609">
        <f ca="1">SUM(F12:F20)</f>
        <v>49907262.019999996</v>
      </c>
      <c r="G11" s="609">
        <f ca="1">SUM(G12:G19)</f>
        <v>15</v>
      </c>
      <c r="H11"/>
      <c r="I11" s="668">
        <f ca="1">E11+E23+E31+E43</f>
        <v>142</v>
      </c>
      <c r="J11"/>
      <c r="K11"/>
      <c r="L11"/>
      <c r="M11"/>
      <c r="N11"/>
      <c r="O11"/>
      <c r="P11"/>
      <c r="Q11" s="584" t="b">
        <f ca="1">I11=E10</f>
        <v>1</v>
      </c>
      <c r="T11" s="585" t="s">
        <v>295</v>
      </c>
      <c r="U11" s="584" t="s">
        <v>298</v>
      </c>
      <c r="X11" s="584" t="s">
        <v>357</v>
      </c>
      <c r="Y11" s="584" t="s">
        <v>358</v>
      </c>
    </row>
    <row r="12" spans="1:25" s="584" customFormat="1" hidden="1">
      <c r="A12" s="614" t="b">
        <f ca="1">_xll.PALO.HIDEROW(ISBLANK($A$1))</f>
        <v>1</v>
      </c>
      <c r="D12" s="606" t="str">
        <f ca="1">MID($T12,9,$U12-8)</f>
        <v>EIC-2021-PATHFINDEROPEN-01</v>
      </c>
      <c r="E12" s="586">
        <f ca="1">_xll.PALO.DATAC("jedoxtest/EU_PM_CUBE02","EUPM_Mittel2_Cube",AT_ExSc_Datenstand,"Alle Beteiligungen","Alle Koordinatoren","Alle Unternehmensgrößen","-2","Alle Organisationstypen",28,"Alle Expertevaluierungsstatus","-2","-2",1,"-2","Alle",$S12,E$7)</f>
        <v>14</v>
      </c>
      <c r="F12" s="586">
        <f ca="1">_xll.PALO.DATAC("jedoxtest/EU_PM_CUBE02","EUPM_Mittel2_Cube",AT_ExSc_Datenstand,"Alle Beteiligungen","Alle Koordinatoren","Alle Unternehmensgrößen","-2","Alle Organisationstypen",28,"Alle Expertevaluierungsstatus","-2","-2",1,"-2","Alle",$S12,F$7)</f>
        <v>5652669.3899999997</v>
      </c>
      <c r="G12" s="586">
        <f ca="1">_xll.PALO.DATAC("jedoxtest/EU_PM_CUBE02","EUPM_Mittel2_Cube",AT_ExSc_Datenstand,"Alle Beteiligungen","Alle Koordinatoren","Alle Unternehmensgrößen","-2","Alle Organisationstypen",28,"Alle Expertevaluierungsstatus","-2","-2",1,"-2","Alle",$S12,G$7)</f>
        <v>0</v>
      </c>
      <c r="S12" s="667">
        <v>2573</v>
      </c>
      <c r="T12" s="585" t="str">
        <f ca="1">_xll.PALO.DATA("jedoxtest/EU_PM_CUBE02","#_Call","Bezeichnung",$S12)</f>
        <v>HORIZON-EIC-2021-PATHFINDEROPEN-01</v>
      </c>
      <c r="U12" s="584">
        <f ca="1">LEN(T12)</f>
        <v>34</v>
      </c>
      <c r="X12" s="682"/>
      <c r="Y12" s="585" t="str">
        <f ca="1">_xll.PALO.DATA("jedoxtest/EU_PM_CUBE02","#_Call","Bezeichnung",$X12)</f>
        <v/>
      </c>
    </row>
    <row r="13" spans="1:25" s="584" customFormat="1" hidden="1">
      <c r="A13" s="614" t="b">
        <f ca="1">_xll.PALO.HIDEROW(ISBLANK($A$1))</f>
        <v>1</v>
      </c>
      <c r="D13" s="606" t="str">
        <f t="shared" ref="D13:D20" ca="1" si="0">MID($T13,9,$U13-8)</f>
        <v>EIC-2022-PATHFINDEROPEN-01</v>
      </c>
      <c r="E13" s="586">
        <f ca="1">_xll.PALO.DATAC("jedoxtest/EU_PM_CUBE02","EUPM_Mittel2_Cube",AT_ExSc_Datenstand,"Alle Beteiligungen","Alle Koordinatoren","Alle Unternehmensgrößen","-2","Alle Organisationstypen",28,"Alle Expertevaluierungsstatus","-2","-2",1,"-2","Alle",$S13,E$7)</f>
        <v>8</v>
      </c>
      <c r="F13" s="586">
        <f ca="1">_xll.PALO.DATAC("jedoxtest/EU_PM_CUBE02","EUPM_Mittel2_Cube",AT_ExSc_Datenstand,"Alle Beteiligungen","Alle Koordinatoren","Alle Unternehmensgrößen","-2","Alle Organisationstypen",28,"Alle Expertevaluierungsstatus","-2","-2",1,"-2","Alle",$S13,F$7)</f>
        <v>3773880.94</v>
      </c>
      <c r="G13" s="586">
        <f ca="1">_xll.PALO.DATAC("jedoxtest/EU_PM_CUBE02","EUPM_Mittel2_Cube",AT_ExSc_Datenstand,"Alle Beteiligungen","Alle Koordinatoren","Alle Unternehmensgrößen","-2","Alle Organisationstypen",28,"Alle Expertevaluierungsstatus","-2","-2",1,"-2","Alle",$S13,G$7)</f>
        <v>1</v>
      </c>
      <c r="S13" s="667">
        <v>2810</v>
      </c>
      <c r="T13" s="585" t="str">
        <f ca="1">_xll.PALO.DATA("jedoxtest/EU_PM_CUBE02","#_Call","Bezeichnung",$S13)</f>
        <v>HORIZON-EIC-2022-PATHFINDEROPEN-01</v>
      </c>
      <c r="U13" s="584">
        <f t="shared" ref="U13:U35" ca="1" si="1">LEN(T13)</f>
        <v>34</v>
      </c>
      <c r="X13" s="682"/>
      <c r="Y13" s="585" t="str">
        <f ca="1">_xll.PALO.DATA("jedoxtest/EU_PM_CUBE02","#_Call","Bezeichnung",$X13)</f>
        <v/>
      </c>
    </row>
    <row r="14" spans="1:25" s="584" customFormat="1" hidden="1">
      <c r="A14" s="614" t="b">
        <f ca="1">_xll.PALO.HIDEROW(ISBLANK($A$1))</f>
        <v>1</v>
      </c>
      <c r="D14" s="606" t="str">
        <f t="shared" ca="1" si="0"/>
        <v>EIC-2021-PATHFINDERCHALLENGES-01</v>
      </c>
      <c r="E14" s="586">
        <f ca="1">_xll.PALO.DATAC("jedoxtest/EU_PM_CUBE02","EUPM_Mittel2_Cube",AT_ExSc_Datenstand,"Alle Beteiligungen","Alle Koordinatoren","Alle Unternehmensgrößen","-2","Alle Organisationstypen",28,"Alle Expertevaluierungsstatus","-2","-2",1,"-2","Alle",$S14,E$7)</f>
        <v>5</v>
      </c>
      <c r="F14" s="586">
        <f ca="1">_xll.PALO.DATAC("jedoxtest/EU_PM_CUBE02","EUPM_Mittel2_Cube",AT_ExSc_Datenstand,"Alle Beteiligungen","Alle Koordinatoren","Alle Unternehmensgrößen","-2","Alle Organisationstypen",28,"Alle Expertevaluierungsstatus","-2","-2",1,"-2","Alle",$S14,F$7)</f>
        <v>3256682.5</v>
      </c>
      <c r="G14" s="586">
        <f ca="1">_xll.PALO.DATAC("jedoxtest/EU_PM_CUBE02","EUPM_Mittel2_Cube",AT_ExSc_Datenstand,"Alle Beteiligungen","Alle Koordinatoren","Alle Unternehmensgrößen","-2","Alle Organisationstypen",28,"Alle Expertevaluierungsstatus","-2","-2",1,"-2","Alle",$S14,G$7)</f>
        <v>1</v>
      </c>
      <c r="S14" s="667">
        <v>2851</v>
      </c>
      <c r="T14" s="585" t="str">
        <f ca="1">_xll.PALO.DATA("jedoxtest/EU_PM_CUBE02","#_Call","Bezeichnung",$S14)</f>
        <v>HORIZON-EIC-2021-PATHFINDERCHALLENGES-01</v>
      </c>
      <c r="U14" s="584">
        <f t="shared" ca="1" si="1"/>
        <v>40</v>
      </c>
      <c r="X14" s="680"/>
      <c r="Y14" s="585" t="str">
        <f ca="1">_xll.PALO.DATA("jedoxtest/EU_PM_CUBE02","#_Call","Bezeichnung",$X14)</f>
        <v/>
      </c>
    </row>
    <row r="15" spans="1:25" s="584" customFormat="1" hidden="1">
      <c r="A15" s="614" t="b">
        <f ca="1">_xll.PALO.HIDEROW(ISBLANK($A$1))</f>
        <v>1</v>
      </c>
      <c r="D15" s="606" t="str">
        <f t="shared" ca="1" si="0"/>
        <v>EIC-2022-PATHFINDERCHALLENGES-01</v>
      </c>
      <c r="E15" s="586">
        <f ca="1">_xll.PALO.DATAC("jedoxtest/EU_PM_CUBE02","EUPM_Mittel2_Cube",AT_ExSc_Datenstand,"Alle Beteiligungen","Alle Koordinatoren","Alle Unternehmensgrößen","-2","Alle Organisationstypen",28,"Alle Expertevaluierungsstatus","-2","-2",1,"-2","Alle",$S15,E$7)</f>
        <v>17</v>
      </c>
      <c r="F15" s="586">
        <f ca="1">_xll.PALO.DATAC("jedoxtest/EU_PM_CUBE02","EUPM_Mittel2_Cube",AT_ExSc_Datenstand,"Alle Beteiligungen","Alle Koordinatoren","Alle Unternehmensgrößen","-2","Alle Organisationstypen",28,"Alle Expertevaluierungsstatus","-2","-2",1,"-2","Alle",$S15,F$7)</f>
        <v>11319674.560000001</v>
      </c>
      <c r="G15" s="586">
        <f ca="1">_xll.PALO.DATAC("jedoxtest/EU_PM_CUBE02","EUPM_Mittel2_Cube",AT_ExSc_Datenstand,"Alle Beteiligungen","Alle Koordinatoren","Alle Unternehmensgrößen","-2","Alle Organisationstypen",28,"Alle Expertevaluierungsstatus","-2","-2",1,"-2","Alle",$S15,G$7)</f>
        <v>3</v>
      </c>
      <c r="S15" s="667">
        <v>2854</v>
      </c>
      <c r="T15" s="585" t="str">
        <f ca="1">_xll.PALO.DATA("jedoxtest/EU_PM_CUBE02","#_Call","Bezeichnung",$S15)</f>
        <v>HORIZON-EIC-2022-PATHFINDERCHALLENGES-01</v>
      </c>
      <c r="U15" s="584">
        <f t="shared" ca="1" si="1"/>
        <v>40</v>
      </c>
      <c r="X15" s="680"/>
      <c r="Y15" s="585" t="str">
        <f ca="1">_xll.PALO.DATA("jedoxtest/EU_PM_CUBE02","#_Call","Bezeichnung",$X15)</f>
        <v/>
      </c>
    </row>
    <row r="16" spans="1:25" s="584" customFormat="1" hidden="1">
      <c r="A16" s="614" t="b">
        <f ca="1">_xll.PALO.HIDEROW(ISBLANK($A$1))</f>
        <v>1</v>
      </c>
      <c r="D16" s="606" t="str">
        <f t="shared" ca="1" si="0"/>
        <v>EIC-2023-PATHFINDEROPEN-01</v>
      </c>
      <c r="E16" s="586">
        <f ca="1">_xll.PALO.DATAC("jedoxtest/EU_PM_CUBE02","EUPM_Mittel2_Cube",AT_ExSc_Datenstand,"Alle Beteiligungen","Alle Koordinatoren","Alle Unternehmensgrößen","-2","Alle Organisationstypen",28,"Alle Expertevaluierungsstatus","-2","-2",1,"-2","Alle",$S16,E$7)</f>
        <v>9</v>
      </c>
      <c r="F16" s="586">
        <f ca="1">_xll.PALO.DATAC("jedoxtest/EU_PM_CUBE02","EUPM_Mittel2_Cube",AT_ExSc_Datenstand,"Alle Beteiligungen","Alle Koordinatoren","Alle Unternehmensgrößen","-2","Alle Organisationstypen",28,"Alle Expertevaluierungsstatus","-2","-2",1,"-2","Alle",$S16,F$7)</f>
        <v>6482080.6299999999</v>
      </c>
      <c r="G16" s="586">
        <f ca="1">_xll.PALO.DATAC("jedoxtest/EU_PM_CUBE02","EUPM_Mittel2_Cube",AT_ExSc_Datenstand,"Alle Beteiligungen","Alle Koordinatoren","Alle Unternehmensgrößen","-2","Alle Organisationstypen",28,"Alle Expertevaluierungsstatus","-2","-2",1,"-2","Alle",$S16,G$7)</f>
        <v>2</v>
      </c>
      <c r="S16" s="584">
        <v>2927</v>
      </c>
      <c r="T16" s="585" t="str">
        <f ca="1">_xll.PALO.DATA("jedoxtest/EU_PM_CUBE02","#_Call","Bezeichnung",$S16)</f>
        <v>HORIZON-EIC-2023-PATHFINDEROPEN-01</v>
      </c>
      <c r="U16" s="584">
        <f t="shared" ca="1" si="1"/>
        <v>34</v>
      </c>
      <c r="X16" s="680" t="s">
        <v>413</v>
      </c>
      <c r="Y16" s="585" t="str">
        <f ca="1">_xll.PALO.DATA("jedoxtest/EU_PM_CUBE02","#_Call","Bezeichnung",$X16)</f>
        <v>HORIZON-EIC-2025-DENMPRES-IBA</v>
      </c>
    </row>
    <row r="17" spans="1:25" s="584" customFormat="1" hidden="1">
      <c r="A17" s="662" t="b">
        <f ca="1">_xll.PALO.HIDEROW(ISBLANK($A$1))</f>
        <v>1</v>
      </c>
      <c r="D17" s="606" t="str">
        <f t="shared" ca="1" si="0"/>
        <v>EIC-2023-PATHFINDERCHALLENGES-01</v>
      </c>
      <c r="E17" s="586">
        <f ca="1">_xll.PALO.DATAC("jedoxtest/EU_PM_CUBE02","EUPM_Mittel2_Cube",AT_ExSc_Datenstand,"Alle Beteiligungen","Alle Koordinatoren","Alle Unternehmensgrößen","-2","Alle Organisationstypen",28,"Alle Expertevaluierungsstatus","-2","-2",1,"-2","Alle",$S17,E$7)</f>
        <v>13</v>
      </c>
      <c r="F17" s="586">
        <f ca="1">_xll.PALO.DATAC("jedoxtest/EU_PM_CUBE02","EUPM_Mittel2_Cube",AT_ExSc_Datenstand,"Alle Beteiligungen","Alle Koordinatoren","Alle Unternehmensgrößen","-2","Alle Organisationstypen",28,"Alle Expertevaluierungsstatus","-2","-2",1,"-2","Alle",$S17,F$7)</f>
        <v>7080482.5</v>
      </c>
      <c r="G17" s="586">
        <f ca="1">_xll.PALO.DATAC("jedoxtest/EU_PM_CUBE02","EUPM_Mittel2_Cube",AT_ExSc_Datenstand,"Alle Beteiligungen","Alle Koordinatoren","Alle Unternehmensgrößen","-2","Alle Organisationstypen",28,"Alle Expertevaluierungsstatus","-2","-2",1,"-2","Alle",$S17,G$7)</f>
        <v>2</v>
      </c>
      <c r="S17" s="667">
        <v>3021</v>
      </c>
      <c r="T17" s="585" t="str">
        <f ca="1">_xll.PALO.DATA("jedoxtest/EU_PM_CUBE02","#_Call","Bezeichnung",$S17)</f>
        <v>HORIZON-EIC-2023-PATHFINDERCHALLENGES-01</v>
      </c>
      <c r="U17" s="584">
        <f t="shared" ref="U17" ca="1" si="2">LEN(T17)</f>
        <v>40</v>
      </c>
      <c r="X17" s="584" t="s">
        <v>414</v>
      </c>
      <c r="Y17" s="585" t="str">
        <f ca="1">_xll.PALO.DATA("jedoxtest/EU_PM_CUBE02","#_Call","Bezeichnung",$X17)</f>
        <v>HORIZON-EIC-2025-POLPRES-IBA</v>
      </c>
    </row>
    <row r="18" spans="1:25" s="584" customFormat="1" hidden="1">
      <c r="A18" s="662" t="b">
        <f ca="1">_xll.PALO.HIDEROW(ISBLANK($A$1))</f>
        <v>1</v>
      </c>
      <c r="D18" s="606" t="str">
        <f t="shared" ca="1" si="0"/>
        <v>EIC-2024-PATHFINDEROPEN-01</v>
      </c>
      <c r="E18" s="586">
        <f ca="1">_xll.PALO.DATAC("jedoxtest/EU_PM_CUBE02","EUPM_Mittel2_Cube",AT_ExSc_Datenstand,"Alle Beteiligungen","Alle Koordinatoren","Alle Unternehmensgrößen","-2","Alle Organisationstypen",28,"Alle Expertevaluierungsstatus","-2","-2",1,"-2","Alle",$S18,E$7)</f>
        <v>16</v>
      </c>
      <c r="F18" s="586">
        <f ca="1">_xll.PALO.DATAC("jedoxtest/EU_PM_CUBE02","EUPM_Mittel2_Cube",AT_ExSc_Datenstand,"Alle Beteiligungen","Alle Koordinatoren","Alle Unternehmensgrößen","-2","Alle Organisationstypen",28,"Alle Expertevaluierungsstatus","-2","-2",1,"-2","Alle",$S18,F$7)</f>
        <v>8527654.25</v>
      </c>
      <c r="G18" s="586">
        <f ca="1">_xll.PALO.DATAC("jedoxtest/EU_PM_CUBE02","EUPM_Mittel2_Cube",AT_ExSc_Datenstand,"Alle Beteiligungen","Alle Koordinatoren","Alle Unternehmensgrößen","-2","Alle Organisationstypen",28,"Alle Expertevaluierungsstatus","-2","-2",1,"-2","Alle",$S18,G$7)</f>
        <v>5</v>
      </c>
      <c r="S18" s="667">
        <v>3103</v>
      </c>
      <c r="T18" s="585" t="str">
        <f ca="1">_xll.PALO.DATA("jedoxtest/EU_PM_CUBE02","#_Call","Bezeichnung",$S18)</f>
        <v>HORIZON-EIC-2024-PATHFINDEROPEN-01</v>
      </c>
      <c r="U18" s="584">
        <f t="shared" ref="U18" ca="1" si="3">LEN(T18)</f>
        <v>34</v>
      </c>
      <c r="Y18" s="585" t="str">
        <f ca="1">_xll.PALO.DATA("jedoxtest/EU_PM_CUBE02","#_Call","Bezeichnung",$X18)</f>
        <v/>
      </c>
    </row>
    <row r="19" spans="1:25" s="584" customFormat="1" hidden="1">
      <c r="A19" s="662" t="b">
        <f ca="1">_xll.PALO.HIDEROW(ISBLANK($A$1))</f>
        <v>1</v>
      </c>
      <c r="D19" s="606" t="str">
        <f t="shared" ca="1" si="0"/>
        <v>EIC-2024-PATHFINDERCHALLENGES-01</v>
      </c>
      <c r="E19" s="586">
        <f ca="1">_xll.PALO.DATAC("jedoxtest/EU_PM_CUBE02","EUPM_Mittel2_Cube",AT_ExSc_Datenstand,"Alle Beteiligungen","Alle Koordinatoren","Alle Unternehmensgrößen","-2","Alle Organisationstypen",28,"Alle Expertevaluierungsstatus","-2","-2",1,"-2","Alle",$S19,E$7)</f>
        <v>4</v>
      </c>
      <c r="F19" s="586">
        <f ca="1">_xll.PALO.DATAC("jedoxtest/EU_PM_CUBE02","EUPM_Mittel2_Cube",AT_ExSc_Datenstand,"Alle Beteiligungen","Alle Koordinatoren","Alle Unternehmensgrößen","-2","Alle Organisationstypen",28,"Alle Expertevaluierungsstatus","-2","-2",1,"-2","Alle",$S19,F$7)</f>
        <v>2212004.75</v>
      </c>
      <c r="G19" s="586">
        <f ca="1">_xll.PALO.DATAC("jedoxtest/EU_PM_CUBE02","EUPM_Mittel2_Cube",AT_ExSc_Datenstand,"Alle Beteiligungen","Alle Koordinatoren","Alle Unternehmensgrößen","-2","Alle Organisationstypen",28,"Alle Expertevaluierungsstatus","-2","-2",1,"-2","Alle",$S19,G$7)</f>
        <v>1</v>
      </c>
      <c r="S19" s="680">
        <v>5194</v>
      </c>
      <c r="T19" s="585" t="str">
        <f ca="1">_xll.PALO.DATA("jedoxtest/EU_PM_CUBE02","#_Call","Bezeichnung",$S19)</f>
        <v>HORIZON-EIC-2024-PATHFINDERCHALLENGES-01</v>
      </c>
      <c r="U19" s="584">
        <f t="shared" ref="U19:U21" ca="1" si="4">LEN(T19)</f>
        <v>40</v>
      </c>
      <c r="X19" s="584" t="s">
        <v>415</v>
      </c>
      <c r="Y19" s="585" t="str">
        <f ca="1">_xll.PALO.DATA("jedoxtest/EU_PM_CUBE02","#_Call","Bezeichnung",$X19)</f>
        <v>HORIZON-EIC-2025-PRIZE-2</v>
      </c>
    </row>
    <row r="20" spans="1:25" s="584" customFormat="1" hidden="1">
      <c r="A20" s="662" t="b">
        <f ca="1">_xll.PALO.HIDEROW(ISBLANK($A$1))</f>
        <v>1</v>
      </c>
      <c r="D20" s="606" t="str">
        <f t="shared" ca="1" si="0"/>
        <v>EIC-2025-PATHFINDEROPEN</v>
      </c>
      <c r="E20" s="586">
        <f ca="1">_xll.PALO.DATAC("jedoxtest/EU_PM_CUBE02","EUPM_Mittel2_Cube",AT_ExSc_Datenstand,"Alle Beteiligungen","Alle Koordinatoren","Alle Unternehmensgrößen","-2","Alle Organisationstypen",28,"Alle Expertevaluierungsstatus","-2","-2",1,"-2","Alle",$S20,E$7)</f>
        <v>3</v>
      </c>
      <c r="F20" s="586">
        <f ca="1">_xll.PALO.DATAC("jedoxtest/EU_PM_CUBE02","EUPM_Mittel2_Cube",AT_ExSc_Datenstand,"Alle Beteiligungen","Alle Koordinatoren","Alle Unternehmensgrößen","-2","Alle Organisationstypen",28,"Alle Expertevaluierungsstatus","-2","-2",1,"-2","Alle",$S20,F$7)</f>
        <v>1602132.5</v>
      </c>
      <c r="G20" s="586">
        <f ca="1">_xll.PALO.DATAC("jedoxtest/EU_PM_CUBE02","EUPM_Mittel2_Cube",AT_ExSc_Datenstand,"Alle Beteiligungen","Alle Koordinatoren","Alle Unternehmensgrößen","-2","Alle Organisationstypen",28,"Alle Expertevaluierungsstatus","-2","-2",1,"-2","Alle",$S20,G$7)</f>
        <v>0</v>
      </c>
      <c r="S20">
        <v>5280</v>
      </c>
      <c r="T20" s="585" t="str">
        <f ca="1">_xll.PALO.DATA("jedoxtest/EU_PM_CUBE02","#_Call","Bezeichnung",$S20)</f>
        <v>HORIZON-EIC-2025-PATHFINDEROPEN</v>
      </c>
      <c r="U20" s="584">
        <f t="shared" ca="1" si="4"/>
        <v>31</v>
      </c>
      <c r="Y20" s="585"/>
    </row>
    <row r="21" spans="1:25" s="584" customFormat="1" hidden="1">
      <c r="A21" s="662" t="b">
        <f ca="1">_xll.PALO.HIDEROW(ISBLANK($A$1))</f>
        <v>1</v>
      </c>
      <c r="D21" s="606"/>
      <c r="E21" s="586"/>
      <c r="F21" s="586"/>
      <c r="G21" s="586"/>
      <c r="T21" s="585" t="str">
        <f ca="1">_xll.PALO.DATA("jedoxtest/EU_PM_CUBE02","#_Call","Bezeichnung",$S21)</f>
        <v/>
      </c>
      <c r="U21" s="584">
        <f t="shared" ca="1" si="4"/>
        <v>0</v>
      </c>
      <c r="Y21" s="585"/>
    </row>
    <row r="22" spans="1:25" s="584" customFormat="1" hidden="1">
      <c r="A22" s="614" t="b">
        <f ca="1">_xll.PALO.HIDEROW(ISBLANK($A$1))</f>
        <v>1</v>
      </c>
      <c r="D22" s="608"/>
      <c r="E22" s="610"/>
      <c r="F22" s="610"/>
      <c r="G22" s="610"/>
      <c r="T22" s="585"/>
      <c r="X22"/>
      <c r="Y22" t="str">
        <f ca="1">_xll.PALO.DATA("jedoxtest/EU_PM_CUBE02","#_Call","Bezeichnung",X22)</f>
        <v/>
      </c>
    </row>
    <row r="23" spans="1:25" s="584" customFormat="1">
      <c r="D23" s="608" t="str">
        <f>T23</f>
        <v>Transition</v>
      </c>
      <c r="E23" s="609">
        <f ca="1">SUM(E24:E29)</f>
        <v>15</v>
      </c>
      <c r="F23" s="609">
        <f ca="1">SUM(F24:F29)</f>
        <v>14587849.310000001</v>
      </c>
      <c r="G23" s="609">
        <f ca="1">SUM(G24:G29)</f>
        <v>4</v>
      </c>
      <c r="T23" s="585" t="s">
        <v>296</v>
      </c>
      <c r="X23"/>
      <c r="Y23" t="str">
        <f ca="1">_xll.PALO.DATA("jedoxtest/EU_PM_CUBE02","#_Call","Bezeichnung",X23)</f>
        <v/>
      </c>
    </row>
    <row r="24" spans="1:25" s="584" customFormat="1" hidden="1">
      <c r="A24" s="614" t="b">
        <f ca="1">_xll.PALO.HIDEROW(ISBLANK($A$1))</f>
        <v>1</v>
      </c>
      <c r="D24" s="606" t="str">
        <f t="shared" ref="D24:D29" ca="1" si="5">MID($T24,9,$U24-8)</f>
        <v>EIC-2021-TRANSITION-CHALLENGES-01</v>
      </c>
      <c r="E24" s="586">
        <f ca="1">_xll.PALO.DATAC("jedoxtest/EU_PM_CUBE02","EUPM_Mittel2_Cube",AT_ExSc_Datenstand,"Alle Beteiligungen","Alle Koordinatoren","Alle Unternehmensgrößen","-2","Alle Organisationstypen",28,"Alle Expertevaluierungsstatus","-2","-2",1,"-2","Alle",$S24,E$7)</f>
        <v>1</v>
      </c>
      <c r="F24" s="586">
        <f ca="1">_xll.PALO.DATAC("jedoxtest/EU_PM_CUBE02","EUPM_Mittel2_Cube",AT_ExSc_Datenstand,"Alle Beteiligungen","Alle Koordinatoren","Alle Unternehmensgrößen","-2","Alle Organisationstypen",28,"Alle Expertevaluierungsstatus","-2","-2",1,"-2","Alle",$S24,F$7)</f>
        <v>320875</v>
      </c>
      <c r="G24" s="586">
        <f ca="1">_xll.PALO.DATAC("jedoxtest/EU_PM_CUBE02","EUPM_Mittel2_Cube",AT_ExSc_Datenstand,"Alle Beteiligungen","Alle Koordinatoren","Alle Unternehmensgrößen","-2","Alle Organisationstypen",28,"Alle Expertevaluierungsstatus","-2","-2",1,"-2","Alle",$S24,G$7)</f>
        <v>0</v>
      </c>
      <c r="S24" s="667">
        <v>2575</v>
      </c>
      <c r="T24" s="585" t="str">
        <f ca="1">_xll.PALO.DATA("jedoxtest/EU_PM_CUBE02","#_Call","Bezeichnung",$S24)</f>
        <v>HORIZON-EIC-2021-TRANSITION-CHALLENGES-01</v>
      </c>
      <c r="U24" s="584">
        <f t="shared" ca="1" si="1"/>
        <v>41</v>
      </c>
      <c r="X24"/>
      <c r="Y24" t="str">
        <f ca="1">_xll.PALO.DATA("jedoxtest/EU_PM_CUBE02","#_Call","Bezeichnung",X24)</f>
        <v/>
      </c>
    </row>
    <row r="25" spans="1:25" s="584" customFormat="1" hidden="1">
      <c r="A25" s="614" t="b">
        <f ca="1">_xll.PALO.HIDEROW(ISBLANK($A$1))</f>
        <v>1</v>
      </c>
      <c r="D25" s="606" t="str">
        <f t="shared" ca="1" si="5"/>
        <v>EIC-2021-TRANSITIONOPEN-01</v>
      </c>
      <c r="E25" s="586">
        <f ca="1">_xll.PALO.DATAC("jedoxtest/EU_PM_CUBE02","EUPM_Mittel2_Cube",AT_ExSc_Datenstand,"Alle Beteiligungen","Alle Koordinatoren","Alle Unternehmensgrößen","-2","Alle Organisationstypen",28,"Alle Expertevaluierungsstatus","-2","-2",1,"-2","Alle",$S25,E$7)</f>
        <v>2</v>
      </c>
      <c r="F25" s="586">
        <f ca="1">_xll.PALO.DATAC("jedoxtest/EU_PM_CUBE02","EUPM_Mittel2_Cube",AT_ExSc_Datenstand,"Alle Beteiligungen","Alle Koordinatoren","Alle Unternehmensgrößen","-2","Alle Organisationstypen",28,"Alle Expertevaluierungsstatus","-2","-2",1,"-2","Alle",$S25,F$7)</f>
        <v>4699126</v>
      </c>
      <c r="G25" s="586">
        <f ca="1">_xll.PALO.DATAC("jedoxtest/EU_PM_CUBE02","EUPM_Mittel2_Cube",AT_ExSc_Datenstand,"Alle Beteiligungen","Alle Koordinatoren","Alle Unternehmensgrößen","-2","Alle Organisationstypen",28,"Alle Expertevaluierungsstatus","-2","-2",1,"-2","Alle",$S25,G$7)</f>
        <v>2</v>
      </c>
      <c r="S25" s="667">
        <v>2576</v>
      </c>
      <c r="T25" s="585" t="str">
        <f ca="1">_xll.PALO.DATA("jedoxtest/EU_PM_CUBE02","#_Call","Bezeichnung",$S25)</f>
        <v>HORIZON-EIC-2021-TRANSITIONOPEN-01</v>
      </c>
      <c r="U25" s="584">
        <f t="shared" ca="1" si="1"/>
        <v>34</v>
      </c>
      <c r="X25"/>
      <c r="Y25" t="str">
        <f ca="1">_xll.PALO.DATA("jedoxtest/EU_PM_CUBE02","#_Call","Bezeichnung",X25)</f>
        <v/>
      </c>
    </row>
    <row r="26" spans="1:25" s="584" customFormat="1" hidden="1">
      <c r="A26" s="614" t="b">
        <f ca="1">_xll.PALO.HIDEROW(ISBLANK($A$1))</f>
        <v>1</v>
      </c>
      <c r="D26" s="606" t="str">
        <f t="shared" ca="1" si="5"/>
        <v>EIC-2022-TRANSITION-01</v>
      </c>
      <c r="E26" s="586">
        <f ca="1">_xll.PALO.DATAC("jedoxtest/EU_PM_CUBE02","EUPM_Mittel2_Cube",AT_ExSc_Datenstand,"Alle Beteiligungen","Alle Koordinatoren","Alle Unternehmensgrößen","-2","Alle Organisationstypen",28,"Alle Expertevaluierungsstatus","-2","-2",1,"-2","Alle",$S26,E$7)</f>
        <v>5</v>
      </c>
      <c r="F26" s="586">
        <f ca="1">_xll.PALO.DATAC("jedoxtest/EU_PM_CUBE02","EUPM_Mittel2_Cube",AT_ExSc_Datenstand,"Alle Beteiligungen","Alle Koordinatoren","Alle Unternehmensgrößen","-2","Alle Organisationstypen",28,"Alle Expertevaluierungsstatus","-2","-2",1,"-2","Alle",$S26,F$7)</f>
        <v>2581036.25</v>
      </c>
      <c r="G26" s="586">
        <f ca="1">_xll.PALO.DATAC("jedoxtest/EU_PM_CUBE02","EUPM_Mittel2_Cube",AT_ExSc_Datenstand,"Alle Beteiligungen","Alle Koordinatoren","Alle Unternehmensgrößen","-2","Alle Organisationstypen",28,"Alle Expertevaluierungsstatus","-2","-2",1,"-2","Alle",$S26,G$7)</f>
        <v>0</v>
      </c>
      <c r="S26" s="667">
        <v>2812</v>
      </c>
      <c r="T26" s="585" t="str">
        <f ca="1">_xll.PALO.DATA("jedoxtest/EU_PM_CUBE02","#_Call","Bezeichnung",$S26)</f>
        <v>HORIZON-EIC-2022-TRANSITION-01</v>
      </c>
      <c r="U26" s="584">
        <f t="shared" ca="1" si="1"/>
        <v>30</v>
      </c>
      <c r="X26"/>
      <c r="Y26" t="str">
        <f ca="1">_xll.PALO.DATA("jedoxtest/EU_PM_CUBE02","#_Call","Bezeichnung",X26)</f>
        <v/>
      </c>
    </row>
    <row r="27" spans="1:25" s="584" customFormat="1" hidden="1">
      <c r="A27" s="614" t="b">
        <f ca="1">_xll.PALO.HIDEROW(ISBLANK($A$1))</f>
        <v>1</v>
      </c>
      <c r="D27" s="606" t="str">
        <f t="shared" ca="1" si="5"/>
        <v>EIC-2023-TRANSITION-01</v>
      </c>
      <c r="E27" s="586">
        <f ca="1">_xll.PALO.DATAC("jedoxtest/EU_PM_CUBE02","EUPM_Mittel2_Cube",AT_ExSc_Datenstand,"Alle Beteiligungen","Alle Koordinatoren","Alle Unternehmensgrößen","-2","Alle Organisationstypen",28,"Alle Expertevaluierungsstatus","-2","-2",1,"-2","Alle",$S27,E$7)</f>
        <v>1</v>
      </c>
      <c r="F27" s="586">
        <f ca="1">_xll.PALO.DATAC("jedoxtest/EU_PM_CUBE02","EUPM_Mittel2_Cube",AT_ExSc_Datenstand,"Alle Beteiligungen","Alle Koordinatoren","Alle Unternehmensgrößen","-2","Alle Organisationstypen",28,"Alle Expertevaluierungsstatus","-2","-2",1,"-2","Alle",$S27,F$7)</f>
        <v>570000</v>
      </c>
      <c r="G27" s="586">
        <f ca="1">_xll.PALO.DATAC("jedoxtest/EU_PM_CUBE02","EUPM_Mittel2_Cube",AT_ExSc_Datenstand,"Alle Beteiligungen","Alle Koordinatoren","Alle Unternehmensgrößen","-2","Alle Organisationstypen",28,"Alle Expertevaluierungsstatus","-2","-2",1,"-2","Alle",$S27,G$7)</f>
        <v>0</v>
      </c>
      <c r="S27" s="584">
        <v>2958</v>
      </c>
      <c r="T27" s="585" t="str">
        <f ca="1">_xll.PALO.DATA("jedoxtest/EU_PM_CUBE02","#_Call","Bezeichnung",$S27)</f>
        <v>HORIZON-EIC-2023-TRANSITION-01</v>
      </c>
      <c r="U27" s="584">
        <f t="shared" ref="U27" ca="1" si="6">LEN(T27)</f>
        <v>30</v>
      </c>
      <c r="X27"/>
      <c r="Y27" t="str">
        <f ca="1">_xll.PALO.DATA("jedoxtest/EU_PM_CUBE02","#_Call","Bezeichnung",X27)</f>
        <v/>
      </c>
    </row>
    <row r="28" spans="1:25" s="584" customFormat="1" hidden="1">
      <c r="A28" s="684" t="b">
        <f ca="1">_xll.PALO.HIDEROW(ISBLANK($A$1))</f>
        <v>1</v>
      </c>
      <c r="D28" s="606" t="str">
        <f t="shared" ca="1" si="5"/>
        <v>EIC-2024-TRANSITION-01</v>
      </c>
      <c r="E28" s="586">
        <f ca="1">_xll.PALO.DATAC("jedoxtest/EU_PM_CUBE02","EUPM_Mittel2_Cube",AT_ExSc_Datenstand,"Alle Beteiligungen","Alle Koordinatoren","Alle Unternehmensgrößen","-2","Alle Organisationstypen",28,"Alle Expertevaluierungsstatus","-2","-2",1,"-2","Alle",$S28,E$7)</f>
        <v>2</v>
      </c>
      <c r="F28" s="586">
        <f ca="1">_xll.PALO.DATAC("jedoxtest/EU_PM_CUBE02","EUPM_Mittel2_Cube",AT_ExSc_Datenstand,"Alle Beteiligungen","Alle Koordinatoren","Alle Unternehmensgrößen","-2","Alle Organisationstypen",28,"Alle Expertevaluierungsstatus","-2","-2",1,"-2","Alle",$S28,F$7)</f>
        <v>1906224.56</v>
      </c>
      <c r="G28" s="586">
        <f ca="1">_xll.PALO.DATAC("jedoxtest/EU_PM_CUBE02","EUPM_Mittel2_Cube",AT_ExSc_Datenstand,"Alle Beteiligungen","Alle Koordinatoren","Alle Unternehmensgrößen","-2","Alle Organisationstypen",28,"Alle Expertevaluierungsstatus","-2","-2",1,"-2","Alle",$S28,G$7)</f>
        <v>0</v>
      </c>
      <c r="S28" s="682">
        <v>3145</v>
      </c>
      <c r="T28" s="585" t="str">
        <f ca="1">_xll.PALO.DATA("jedoxtest/EU_PM_CUBE02","#_Call","Bezeichnung",$S28)</f>
        <v>HORIZON-EIC-2024-TRANSITION-01</v>
      </c>
      <c r="U28" s="584">
        <f t="shared" ref="U28" ca="1" si="7">LEN(T28)</f>
        <v>30</v>
      </c>
      <c r="V28"/>
      <c r="X28"/>
      <c r="Y28"/>
    </row>
    <row r="29" spans="1:25" s="584" customFormat="1" hidden="1">
      <c r="A29" s="696" t="b">
        <f ca="1">_xll.PALO.HIDEROW(ISBLANK($A$1))</f>
        <v>1</v>
      </c>
      <c r="D29" s="606" t="str">
        <f t="shared" ca="1" si="5"/>
        <v>EIC-2025-TRANSITIONOPEN</v>
      </c>
      <c r="E29" s="586">
        <f ca="1">_xll.PALO.DATAC("jedoxtest/EU_PM_CUBE02","EUPM_Mittel2_Cube",AT_ExSc_Datenstand,"Alle Beteiligungen","Alle Koordinatoren","Alle Unternehmensgrößen","-2","Alle Organisationstypen",28,"Alle Expertevaluierungsstatus","-2","-2",1,"-2","Alle",$S29,E$7)</f>
        <v>4</v>
      </c>
      <c r="F29" s="586">
        <f ca="1">_xll.PALO.DATAC("jedoxtest/EU_PM_CUBE02","EUPM_Mittel2_Cube",AT_ExSc_Datenstand,"Alle Beteiligungen","Alle Koordinatoren","Alle Unternehmensgrößen","-2","Alle Organisationstypen",28,"Alle Expertevaluierungsstatus","-2","-2",1,"-2","Alle",$S29,F$7)</f>
        <v>4510587.5</v>
      </c>
      <c r="G29" s="586">
        <f ca="1">_xll.PALO.DATAC("jedoxtest/EU_PM_CUBE02","EUPM_Mittel2_Cube",AT_ExSc_Datenstand,"Alle Beteiligungen","Alle Koordinatoren","Alle Unternehmensgrößen","-2","Alle Organisationstypen",28,"Alle Expertevaluierungsstatus","-2","-2",1,"-2","Alle",$S29,G$7)</f>
        <v>2</v>
      </c>
      <c r="S29">
        <v>5282</v>
      </c>
      <c r="T29" s="585" t="str">
        <f ca="1">_xll.PALO.DATA("jedoxtest/EU_PM_CUBE02","#_Call","Bezeichnung",$S29)</f>
        <v>HORIZON-EIC-2025-TRANSITIONOPEN</v>
      </c>
      <c r="U29" s="584">
        <f t="shared" ref="U29" ca="1" si="8">LEN(T29)</f>
        <v>31</v>
      </c>
      <c r="V29"/>
      <c r="X29"/>
      <c r="Y29"/>
    </row>
    <row r="30" spans="1:25" s="584" customFormat="1" hidden="1">
      <c r="A30" s="614" t="b">
        <f ca="1">_xll.PALO.HIDEROW(ISBLANK($A$1))</f>
        <v>1</v>
      </c>
      <c r="D30" s="608"/>
      <c r="E30" s="610"/>
      <c r="F30" s="610"/>
      <c r="G30" s="610"/>
      <c r="T30" s="585"/>
      <c r="X30"/>
      <c r="Y30" t="str">
        <f ca="1">_xll.PALO.DATA("jedoxtest/EU_PM_CUBE02","#_Call","Bezeichnung",X30)</f>
        <v/>
      </c>
    </row>
    <row r="31" spans="1:25" s="584" customFormat="1">
      <c r="D31" s="608" t="str">
        <f>T31</f>
        <v>Accelerator</v>
      </c>
      <c r="E31" s="609">
        <f ca="1">SUM(E32:E42)</f>
        <v>34</v>
      </c>
      <c r="F31" s="609">
        <f ca="1">SUM(F32:F41)</f>
        <v>34384213.25</v>
      </c>
      <c r="G31" s="609">
        <f ca="1">SUM(G32:G41)</f>
        <v>32</v>
      </c>
      <c r="T31" s="585" t="s">
        <v>294</v>
      </c>
      <c r="X31"/>
      <c r="Y31" t="str">
        <f ca="1">_xll.PALO.DATA("jedoxtest/EU_PM_CUBE02","#_Call","Bezeichnung",X31)</f>
        <v/>
      </c>
    </row>
    <row r="32" spans="1:25" s="584" customFormat="1" hidden="1">
      <c r="A32" s="614" t="b">
        <f ca="1">_xll.PALO.HIDEROW(ISBLANK($A$1))</f>
        <v>1</v>
      </c>
      <c r="D32" s="606" t="str">
        <f t="shared" ref="D32:D41" ca="1" si="9">MID($T32,9,$U32-8)</f>
        <v>EIC-2021-ACCELERATORCHALLENGES-01</v>
      </c>
      <c r="E32" s="586">
        <f ca="1">_xll.PALO.DATAC("jedoxtest/EU_PM_CUBE02","EUPM_Mittel2_Cube",AT_ExSc_Datenstand,"Alle Beteiligungen","Alle Koordinatoren","Alle Unternehmensgrößen","-2","Alle Organisationstypen",28,"Alle Expertevaluierungsstatus","-2","-2",1,"-2","Alle",$S32,E$7)</f>
        <v>1</v>
      </c>
      <c r="F32" s="586">
        <f ca="1">_xll.PALO.DATAC("jedoxtest/EU_PM_CUBE02","EUPM_Mittel2_Cube",AT_ExSc_Datenstand,"Alle Beteiligungen","Alle Koordinatoren","Alle Unternehmensgrößen","-2","Alle Organisationstypen",28,"Alle Expertevaluierungsstatus","-2","-2",1,"-2","Alle",$S32,F$7)</f>
        <v>2384900</v>
      </c>
      <c r="G32" s="586">
        <f ca="1">_xll.PALO.DATAC("jedoxtest/EU_PM_CUBE02","EUPM_Mittel2_Cube",AT_ExSc_Datenstand,"Alle Beteiligungen","Alle Koordinatoren","Alle Unternehmensgrößen","-2","Alle Organisationstypen",28,"Alle Expertevaluierungsstatus","-2","-2",1,"-2","Alle",$S32,G$7)</f>
        <v>1</v>
      </c>
      <c r="S32" s="667">
        <v>2849</v>
      </c>
      <c r="T32" s="585" t="str">
        <f ca="1">_xll.PALO.DATA("jedoxtest/EU_PM_CUBE02","#_Call","Bezeichnung",$S32)</f>
        <v>HORIZON-EIC-2021-ACCELERATORCHALLENGES-01</v>
      </c>
      <c r="U32" s="584">
        <f t="shared" ca="1" si="1"/>
        <v>41</v>
      </c>
      <c r="X32"/>
      <c r="Y32" t="str">
        <f ca="1">_xll.PALO.DATA("jedoxtest/EU_PM_CUBE02","#_Call","Bezeichnung",X32)</f>
        <v/>
      </c>
    </row>
    <row r="33" spans="1:25" s="584" customFormat="1" hidden="1">
      <c r="A33" s="614" t="b">
        <f ca="1">_xll.PALO.HIDEROW(ISBLANK($A$1))</f>
        <v>1</v>
      </c>
      <c r="D33" s="606" t="str">
        <f t="shared" ca="1" si="9"/>
        <v>EIC-2021-ACCELERATOROPEN-01</v>
      </c>
      <c r="E33" s="586">
        <f ca="1">_xll.PALO.DATAC("jedoxtest/EU_PM_CUBE02","EUPM_Mittel2_Cube",AT_ExSc_Datenstand,"Alle Beteiligungen","Alle Koordinatoren","Alle Unternehmensgrößen","-2","Alle Organisationstypen",28,"Alle Expertevaluierungsstatus","-2","-2",1,"-2","Alle",$S33,E$7)</f>
        <v>1</v>
      </c>
      <c r="F33" s="586">
        <f ca="1">_xll.PALO.DATAC("jedoxtest/EU_PM_CUBE02","EUPM_Mittel2_Cube",AT_ExSc_Datenstand,"Alle Beteiligungen","Alle Koordinatoren","Alle Unternehmensgrößen","-2","Alle Organisationstypen",28,"Alle Expertevaluierungsstatus","-2","-2",1,"-2","Alle",$S33,F$7)</f>
        <v>1722185.5</v>
      </c>
      <c r="G33" s="586">
        <f ca="1">_xll.PALO.DATAC("jedoxtest/EU_PM_CUBE02","EUPM_Mittel2_Cube",AT_ExSc_Datenstand,"Alle Beteiligungen","Alle Koordinatoren","Alle Unternehmensgrößen","-2","Alle Organisationstypen",28,"Alle Expertevaluierungsstatus","-2","-2",1,"-2","Alle",$S33,G$7)</f>
        <v>1</v>
      </c>
      <c r="S33" s="667">
        <v>2850</v>
      </c>
      <c r="T33" s="585" t="str">
        <f ca="1">_xll.PALO.DATA("jedoxtest/EU_PM_CUBE02","#_Call","Bezeichnung",$S33)</f>
        <v>HORIZON-EIC-2021-ACCELERATOROPEN-01</v>
      </c>
      <c r="U33" s="584">
        <f t="shared" ca="1" si="1"/>
        <v>35</v>
      </c>
      <c r="X33"/>
      <c r="Y33" t="str">
        <f ca="1">_xll.PALO.DATA("jedoxtest/EU_PM_CUBE02","#_Call","Bezeichnung",X33)</f>
        <v/>
      </c>
    </row>
    <row r="34" spans="1:25" s="584" customFormat="1" hidden="1">
      <c r="A34" s="614" t="b">
        <f ca="1">_xll.PALO.HIDEROW(ISBLANK($A$1))</f>
        <v>1</v>
      </c>
      <c r="D34" s="606" t="str">
        <f t="shared" ca="1" si="9"/>
        <v>EIC-2022-ACCELERATOR-01</v>
      </c>
      <c r="E34" s="586">
        <f ca="1">_xll.PALO.DATAC("jedoxtest/EU_PM_CUBE02","EUPM_Mittel2_Cube",AT_ExSc_Datenstand,"Alle Beteiligungen","Alle Koordinatoren","Alle Unternehmensgrößen","-2","Alle Organisationstypen",28,"Alle Expertevaluierungsstatus","-2","-2",1,"-2","Alle",$S34,E$7)</f>
        <v>9</v>
      </c>
      <c r="F34" s="586">
        <f ca="1">_xll.PALO.DATAC("jedoxtest/EU_PM_CUBE02","EUPM_Mittel2_Cube",AT_ExSc_Datenstand,"Alle Beteiligungen","Alle Koordinatoren","Alle Unternehmensgrößen","-2","Alle Organisationstypen",28,"Alle Expertevaluierungsstatus","-2","-2",1,"-2","Alle",$S34,F$7)</f>
        <v>18246106</v>
      </c>
      <c r="G34" s="586">
        <f ca="1">_xll.PALO.DATAC("jedoxtest/EU_PM_CUBE02","EUPM_Mittel2_Cube",AT_ExSc_Datenstand,"Alle Beteiligungen","Alle Koordinatoren","Alle Unternehmensgrößen","-2","Alle Organisationstypen",28,"Alle Expertevaluierungsstatus","-2","-2",1,"-2","Alle",$S34,G$7)</f>
        <v>8</v>
      </c>
      <c r="S34" s="667">
        <v>2852</v>
      </c>
      <c r="T34" s="585" t="str">
        <f ca="1">_xll.PALO.DATA("jedoxtest/EU_PM_CUBE02","#_Call","Bezeichnung",$S34)</f>
        <v>HORIZON-EIC-2022-ACCELERATOR-01</v>
      </c>
      <c r="U34" s="584">
        <f t="shared" ref="U34" ca="1" si="10">LEN(T34)</f>
        <v>31</v>
      </c>
      <c r="X34"/>
      <c r="Y34" t="str">
        <f ca="1">_xll.PALO.DATA("jedoxtest/EU_PM_CUBE02","#_Call","Bezeichnung",X34)</f>
        <v/>
      </c>
    </row>
    <row r="35" spans="1:25" s="584" customFormat="1" hidden="1">
      <c r="A35" s="614" t="b">
        <f ca="1">_xll.PALO.HIDEROW(ISBLANK($A$1))</f>
        <v>1</v>
      </c>
      <c r="D35" s="606" t="str">
        <f t="shared" ca="1" si="9"/>
        <v>EIC-2023-ACCELERATOR-01</v>
      </c>
      <c r="E35" s="586">
        <f ca="1">_xll.PALO.DATAC("jedoxtest/EU_PM_CUBE02","EUPM_Mittel2_Cube",AT_ExSc_Datenstand,"Alle Beteiligungen","Alle Koordinatoren","Alle Unternehmensgrößen","-2","Alle Organisationstypen",28,"Alle Expertevaluierungsstatus","-2","-2",1,"-2","Alle",$S35,E$7)</f>
        <v>1</v>
      </c>
      <c r="F35" s="586">
        <f ca="1">_xll.PALO.DATAC("jedoxtest/EU_PM_CUBE02","EUPM_Mittel2_Cube",AT_ExSc_Datenstand,"Alle Beteiligungen","Alle Koordinatoren","Alle Unternehmensgrößen","-2","Alle Organisationstypen",28,"Alle Expertevaluierungsstatus","-2","-2",1,"-2","Alle",$S35,F$7)</f>
        <v>2433345.25</v>
      </c>
      <c r="G35" s="586">
        <f ca="1">_xll.PALO.DATAC("jedoxtest/EU_PM_CUBE02","EUPM_Mittel2_Cube",AT_ExSc_Datenstand,"Alle Beteiligungen","Alle Koordinatoren","Alle Unternehmensgrößen","-2","Alle Organisationstypen",28,"Alle Expertevaluierungsstatus","-2","-2",1,"-2","Alle",$S35,G$7)</f>
        <v>1</v>
      </c>
      <c r="S35" s="667">
        <v>2856</v>
      </c>
      <c r="T35" s="585" t="str">
        <f ca="1">_xll.PALO.DATA("jedoxtest/EU_PM_CUBE02","#_Call","Bezeichnung",$S35)</f>
        <v>HORIZON-EIC-2023-ACCELERATOR-01</v>
      </c>
      <c r="U35" s="584">
        <f t="shared" ca="1" si="1"/>
        <v>31</v>
      </c>
      <c r="X35"/>
      <c r="Y35" t="str">
        <f ca="1">_xll.PALO.DATA("jedoxtest/EU_PM_CUBE02","#_Call","Bezeichnung",X35)</f>
        <v/>
      </c>
    </row>
    <row r="36" spans="1:25" s="584" customFormat="1" hidden="1">
      <c r="A36" s="677" t="b">
        <f ca="1">_xll.PALO.HIDEROW(ISBLANK($A$1))</f>
        <v>1</v>
      </c>
      <c r="D36" s="606" t="str">
        <f t="shared" ca="1" si="9"/>
        <v>EIC-2024-ACCELERATOR-02</v>
      </c>
      <c r="E36" s="586">
        <f ca="1">_xll.PALO.DATAC("jedoxtest/EU_PM_CUBE02","EUPM_Mittel2_Cube",AT_ExSc_Datenstand,"Alle Beteiligungen","Alle Koordinatoren","Alle Unternehmensgrößen","-2","Alle Organisationstypen",28,"Alle Expertevaluierungsstatus","-2","-2",1,"-2","Alle",$S36,E$7)</f>
        <v>3</v>
      </c>
      <c r="F36" s="586">
        <f ca="1">_xll.PALO.DATAC("jedoxtest/EU_PM_CUBE02","EUPM_Mittel2_Cube",AT_ExSc_Datenstand,"Alle Beteiligungen","Alle Koordinatoren","Alle Unternehmensgrößen","-2","Alle Organisationstypen",28,"Alle Expertevaluierungsstatus","-2","-2",1,"-2","Alle",$S36,F$7)</f>
        <v>7499997</v>
      </c>
      <c r="G36" s="586">
        <f ca="1">_xll.PALO.DATAC("jedoxtest/EU_PM_CUBE02","EUPM_Mittel2_Cube",AT_ExSc_Datenstand,"Alle Beteiligungen","Alle Koordinatoren","Alle Unternehmensgrößen","-2","Alle Organisationstypen",28,"Alle Expertevaluierungsstatus","-2","-2",1,"-2","Alle",$S36,G$7)</f>
        <v>3</v>
      </c>
      <c r="S36" s="667">
        <v>3063</v>
      </c>
      <c r="T36" s="585" t="str">
        <f ca="1">_xll.PALO.DATA("jedoxtest/EU_PM_CUBE02","#_Call","Bezeichnung",$S36)</f>
        <v>HORIZON-EIC-2024-ACCELERATOR-02</v>
      </c>
      <c r="U36" s="584">
        <f t="shared" ref="U36" ca="1" si="11">LEN(T36)</f>
        <v>31</v>
      </c>
      <c r="X36"/>
      <c r="Y36"/>
    </row>
    <row r="37" spans="1:25" s="584" customFormat="1" hidden="1">
      <c r="A37" s="689" t="b">
        <f ca="1">_xll.PALO.HIDEROW(ISBLANK($A$1))</f>
        <v>1</v>
      </c>
      <c r="D37" s="606" t="str">
        <f t="shared" ca="1" si="9"/>
        <v>EIC-2025-ACCELERATOR-02</v>
      </c>
      <c r="E37" s="586">
        <f ca="1">_xll.PALO.DATAC("jedoxtest/EU_PM_CUBE02","EUPM_Mittel2_Cube",AT_ExSc_Datenstand,"Alle Beteiligungen","Alle Koordinatoren","Alle Unternehmensgrößen","-2","Alle Organisationstypen",28,"Alle Expertevaluierungsstatus","-2","-2",1,"-2","Alle",$S37,E$7)</f>
        <v>2</v>
      </c>
      <c r="F37" s="586">
        <f ca="1">_xll.PALO.DATAC("jedoxtest/EU_PM_CUBE02","EUPM_Mittel2_Cube",AT_ExSc_Datenstand,"Alle Beteiligungen","Alle Koordinatoren","Alle Unternehmensgrößen","-2","Alle Organisationstypen",28,"Alle Expertevaluierungsstatus","-2","-2",1,"-2","Alle",$S37,F$7)</f>
        <v>2097679.5</v>
      </c>
      <c r="G37" s="586">
        <f ca="1">_xll.PALO.DATAC("jedoxtest/EU_PM_CUBE02","EUPM_Mittel2_Cube",AT_ExSc_Datenstand,"Alle Beteiligungen","Alle Koordinatoren","Alle Unternehmensgrößen","-2","Alle Organisationstypen",28,"Alle Expertevaluierungsstatus","-2","-2",1,"-2","Alle",$S37,G$7)</f>
        <v>1</v>
      </c>
      <c r="S37" s="680">
        <v>5232</v>
      </c>
      <c r="T37" s="585" t="str">
        <f ca="1">_xll.PALO.DATA("jedoxtest/EU_PM_CUBE02","#_Call","Bezeichnung",$S37)</f>
        <v>HORIZON-EIC-2025-ACCELERATOR-02</v>
      </c>
      <c r="U37" s="584">
        <f t="shared" ref="U37:U41" ca="1" si="12">LEN(T37)</f>
        <v>31</v>
      </c>
      <c r="X37"/>
      <c r="Y37"/>
    </row>
    <row r="38" spans="1:25" s="584" customFormat="1" hidden="1">
      <c r="A38" s="689" t="b">
        <f ca="1">_xll.PALO.HIDEROW(ISBLANK($A$1))</f>
        <v>1</v>
      </c>
      <c r="D38" s="606" t="str">
        <f t="shared" ca="1" si="9"/>
        <v>EIC-2025-ACCELERATOR-01</v>
      </c>
      <c r="E38" s="586">
        <f ca="1">_xll.PALO.DATAC("jedoxtest/EU_PM_CUBE02","EUPM_Mittel2_Cube",AT_ExSc_Datenstand,"Alle Beteiligungen","Alle Koordinatoren","Alle Unternehmensgrößen","-2","Alle Organisationstypen",28,"Alle Expertevaluierungsstatus","-2","-2",1,"-2","Alle",$S38,E$7)</f>
        <v>14</v>
      </c>
      <c r="F38" s="586">
        <f ca="1">_xll.PALO.DATAC("jedoxtest/EU_PM_CUBE02","EUPM_Mittel2_Cube",AT_ExSc_Datenstand,"Alle Beteiligungen","Alle Koordinatoren","Alle Unternehmensgrößen","-2","Alle Organisationstypen",28,"Alle Expertevaluierungsstatus","-2","-2",1,"-2","Alle",$S38,F$7)</f>
        <v>0</v>
      </c>
      <c r="G38" s="586">
        <f ca="1">_xll.PALO.DATAC("jedoxtest/EU_PM_CUBE02","EUPM_Mittel2_Cube",AT_ExSc_Datenstand,"Alle Beteiligungen","Alle Koordinatoren","Alle Unternehmensgrößen","-2","Alle Organisationstypen",28,"Alle Expertevaluierungsstatus","-2","-2",1,"-2","Alle",$S38,G$7)</f>
        <v>14</v>
      </c>
      <c r="S38" s="667">
        <v>5279</v>
      </c>
      <c r="T38" s="585" t="str">
        <f ca="1">_xll.PALO.DATA("jedoxtest/EU_PM_CUBE02","#_Call","Bezeichnung",$S38)</f>
        <v>HORIZON-EIC-2025-ACCELERATOR-01</v>
      </c>
      <c r="U38" s="584">
        <f t="shared" ca="1" si="12"/>
        <v>31</v>
      </c>
      <c r="X38"/>
      <c r="Y38"/>
    </row>
    <row r="39" spans="1:25" s="584" customFormat="1" hidden="1">
      <c r="A39" s="689" t="b">
        <f ca="1">_xll.PALO.HIDEROW(ISBLANK($A$1))</f>
        <v>1</v>
      </c>
      <c r="D39" s="606" t="str">
        <f t="shared" ca="1" si="9"/>
        <v>EIC-2026-ACCELERATOR-01</v>
      </c>
      <c r="E39" s="586">
        <f ca="1">_xll.PALO.DATAC("jedoxtest/EU_PM_CUBE02","EUPM_Mittel2_Cube",AT_ExSc_Datenstand,"Alle Beteiligungen","Alle Koordinatoren","Alle Unternehmensgrößen","-2","Alle Organisationstypen",28,"Alle Expertevaluierungsstatus","-2","-2",1,"-2","Alle",$S39,E$7)</f>
        <v>3</v>
      </c>
      <c r="F39" s="586">
        <f ca="1">_xll.PALO.DATAC("jedoxtest/EU_PM_CUBE02","EUPM_Mittel2_Cube",AT_ExSc_Datenstand,"Alle Beteiligungen","Alle Koordinatoren","Alle Unternehmensgrößen","-2","Alle Organisationstypen",28,"Alle Expertevaluierungsstatus","-2","-2",1,"-2","Alle",$S39,F$7)</f>
        <v>0</v>
      </c>
      <c r="G39" s="586">
        <f ca="1">_xll.PALO.DATAC("jedoxtest/EU_PM_CUBE02","EUPM_Mittel2_Cube",AT_ExSc_Datenstand,"Alle Beteiligungen","Alle Koordinatoren","Alle Unternehmensgrößen","-2","Alle Organisationstypen",28,"Alle Expertevaluierungsstatus","-2","-2",1,"-2","Alle",$S39,G$7)</f>
        <v>3</v>
      </c>
      <c r="S39" s="584">
        <v>5348</v>
      </c>
      <c r="T39" s="585" t="str">
        <f ca="1">_xll.PALO.DATA("jedoxtest/EU_PM_CUBE02","#_Call","Bezeichnung",$S39)</f>
        <v>HORIZON-EIC-2026-ACCELERATOR-01</v>
      </c>
      <c r="U39" s="584">
        <f t="shared" ca="1" si="12"/>
        <v>31</v>
      </c>
      <c r="X39"/>
      <c r="Y39"/>
    </row>
    <row r="40" spans="1:25" s="584" customFormat="1" hidden="1">
      <c r="A40" s="689" t="b">
        <f ca="1">_xll.PALO.HIDEROW(ISBLANK($A$1))</f>
        <v>1</v>
      </c>
      <c r="D40" s="606" t="e">
        <f t="shared" ca="1" si="9"/>
        <v>#VALUE!</v>
      </c>
      <c r="E40" s="586" t="str">
        <f ca="1">_xll.PALO.DATAC("jedoxtest/EU_PM_CUBE02","EUPM_Mittel2_Cube",AT_ExSc_Datenstand,"Alle Beteiligungen","Alle Koordinatoren","Alle Unternehmensgrößen","-2","Alle Organisationstypen",28,"Alle Expertevaluierungsstatus","-2","-2",1,"-2","Alle",$S40,E$7)</f>
        <v/>
      </c>
      <c r="F40" s="586" t="str">
        <f ca="1">_xll.PALO.DATAC("jedoxtest/EU_PM_CUBE02","EUPM_Mittel2_Cube",AT_ExSc_Datenstand,"Alle Beteiligungen","Alle Koordinatoren","Alle Unternehmensgrößen","-2","Alle Organisationstypen",28,"Alle Expertevaluierungsstatus","-2","-2",1,"-2","Alle",$S40,F$7)</f>
        <v/>
      </c>
      <c r="G40" s="586" t="str">
        <f ca="1">_xll.PALO.DATAC("jedoxtest/EU_PM_CUBE02","EUPM_Mittel2_Cube",AT_ExSc_Datenstand,"Alle Beteiligungen","Alle Koordinatoren","Alle Unternehmensgrößen","-2","Alle Organisationstypen",28,"Alle Expertevaluierungsstatus","-2","-2",1,"-2","Alle",$S40,G$7)</f>
        <v/>
      </c>
      <c r="S40" s="667"/>
      <c r="T40" s="585" t="str">
        <f ca="1">_xll.PALO.DATA("jedoxtest/EU_PM_CUBE02","#_Call","Bezeichnung",$S40)</f>
        <v/>
      </c>
      <c r="U40" s="584">
        <f t="shared" ca="1" si="12"/>
        <v>0</v>
      </c>
      <c r="X40"/>
      <c r="Y40"/>
    </row>
    <row r="41" spans="1:25" s="584" customFormat="1" hidden="1">
      <c r="A41" s="689" t="b">
        <f ca="1">_xll.PALO.HIDEROW(ISBLANK($A$1))</f>
        <v>1</v>
      </c>
      <c r="D41" s="606" t="e">
        <f t="shared" ca="1" si="9"/>
        <v>#VALUE!</v>
      </c>
      <c r="E41" s="586" t="str">
        <f ca="1">_xll.PALO.DATAC("jedoxtest/EU_PM_CUBE02","EUPM_Mittel2_Cube",AT_ExSc_Datenstand,"Alle Beteiligungen","Alle Koordinatoren","Alle Unternehmensgrößen","-2","Alle Organisationstypen",28,"Alle Expertevaluierungsstatus","-2","-2",1,"-2","Alle",$S41,E$7)</f>
        <v/>
      </c>
      <c r="F41" s="586" t="str">
        <f ca="1">_xll.PALO.DATAC("jedoxtest/EU_PM_CUBE02","EUPM_Mittel2_Cube",AT_ExSc_Datenstand,"Alle Beteiligungen","Alle Koordinatoren","Alle Unternehmensgrößen","-2","Alle Organisationstypen",28,"Alle Expertevaluierungsstatus","-2","-2",1,"-2","Alle",$S41,F$7)</f>
        <v/>
      </c>
      <c r="G41" s="586" t="str">
        <f ca="1">_xll.PALO.DATAC("jedoxtest/EU_PM_CUBE02","EUPM_Mittel2_Cube",AT_ExSc_Datenstand,"Alle Beteiligungen","Alle Koordinatoren","Alle Unternehmensgrößen","-2","Alle Organisationstypen",28,"Alle Expertevaluierungsstatus","-2","-2",1,"-2","Alle",$S41,G$7)</f>
        <v/>
      </c>
      <c r="S41" s="667"/>
      <c r="T41" s="585" t="str">
        <f ca="1">_xll.PALO.DATA("jedoxtest/EU_PM_CUBE02","#_Call","Bezeichnung",$S41)</f>
        <v/>
      </c>
      <c r="U41" s="584">
        <f t="shared" ca="1" si="12"/>
        <v>0</v>
      </c>
      <c r="X41"/>
      <c r="Y41"/>
    </row>
    <row r="42" spans="1:25" s="584" customFormat="1" hidden="1">
      <c r="A42" s="614" t="b">
        <f ca="1">_xll.PALO.HIDEROW(ISBLANK($A$1))</f>
        <v>1</v>
      </c>
      <c r="D42" s="608"/>
      <c r="E42" s="610"/>
      <c r="F42" s="610"/>
      <c r="G42" s="610"/>
      <c r="T42" s="585"/>
      <c r="X42"/>
      <c r="Y42" t="str">
        <f ca="1">_xll.PALO.DATA("jedoxtest/EU_PM_CUBE02","#_Call","Bezeichnung",X42)</f>
        <v/>
      </c>
    </row>
    <row r="43" spans="1:25" s="584" customFormat="1">
      <c r="D43" s="611" t="s">
        <v>302</v>
      </c>
      <c r="E43" s="612">
        <f ca="1">SUM(E44:E74)</f>
        <v>4</v>
      </c>
      <c r="F43" s="612">
        <f ca="1">SUM(F44:F74)</f>
        <v>791434.81</v>
      </c>
      <c r="G43" s="612">
        <f ca="1">SUM(G44:G74)</f>
        <v>2</v>
      </c>
      <c r="S43" s="584" t="s">
        <v>60</v>
      </c>
      <c r="T43" s="585" t="s">
        <v>297</v>
      </c>
      <c r="U43" s="584" t="s">
        <v>393</v>
      </c>
      <c r="X43"/>
      <c r="Y43" t="str">
        <f ca="1">_xll.PALO.DATA("jedoxtest/EU_PM_CUBE02","#_Call","Bezeichnung",X43)</f>
        <v/>
      </c>
    </row>
    <row r="44" spans="1:25" s="584" customFormat="1" hidden="1">
      <c r="A44" s="614" t="b">
        <f ca="1">_xll.PALO.HIDEROW(ISBLANK($A$1))</f>
        <v>1</v>
      </c>
      <c r="D44" s="592" t="str">
        <f t="shared" ref="D44:D74" ca="1" si="13">MID($T44,9,$U44-8)</f>
        <v>EIC-2021-EEN-01</v>
      </c>
      <c r="E44" s="588">
        <f ca="1">_xll.PALO.DATAC("jedoxtest/EU_PM_CUBE02","EUPM_Mittel2_Cube",AT_ExSc_Datenstand,"Alle Beteiligungen","Alle Koordinatoren","Alle Unternehmensgrößen","-2","Alle Organisationstypen",28,"Alle Expertevaluierungsstatus","-2","-2",1,"-2","Alle",$S44,E$7)</f>
        <v>0</v>
      </c>
      <c r="F44" s="588">
        <f ca="1">_xll.PALO.DATAC("jedoxtest/EU_PM_CUBE02","EUPM_Mittel2_Cube",AT_ExSc_Datenstand,"Alle Beteiligungen","Alle Koordinatoren","Alle Unternehmensgrößen","-2","Alle Organisationstypen",28,"Alle Expertevaluierungsstatus","-2","-2",1,"-2","Alle",$S44,F$7)</f>
        <v>0</v>
      </c>
      <c r="G44" s="588">
        <f ca="1">_xll.PALO.DATAC("jedoxtest/EU_PM_CUBE02","EUPM_Mittel2_Cube",AT_ExSc_Datenstand,"Alle Beteiligungen","Alle Koordinatoren","Alle Unternehmensgrößen","-2","Alle Organisationstypen",28,"Alle Expertevaluierungsstatus","-2","-2",1,"-2","Alle",$S44,G$7)</f>
        <v>0</v>
      </c>
      <c r="Q44" s="585"/>
      <c r="S44" s="667">
        <v>2752</v>
      </c>
      <c r="T44" s="585" t="str">
        <f ca="1">_xll.PALO.DATA("jedoxtest/EU_PM_CUBE02","#_Call","Bezeichnung",$S44)</f>
        <v>HORIZON-EIC-2021-EEN-01</v>
      </c>
      <c r="U44" s="584">
        <f t="shared" ref="U44:U62" ca="1" si="14">LEN(T44)</f>
        <v>23</v>
      </c>
      <c r="X44"/>
      <c r="Y44" t="str">
        <f ca="1">_xll.PALO.DATA("jedoxtest/EU_PM_CUBE02","#_Call","Bezeichnung",X44)</f>
        <v/>
      </c>
    </row>
    <row r="45" spans="1:25" s="584" customFormat="1" hidden="1">
      <c r="A45" s="614" t="b">
        <f ca="1">_xll.PALO.HIDEROW(ISBLANK($A$1))</f>
        <v>1</v>
      </c>
      <c r="D45" s="594" t="str">
        <f t="shared" ca="1" si="13"/>
        <v>EIC-2021-NCP-01</v>
      </c>
      <c r="E45" s="586">
        <f ca="1">_xll.PALO.DATAC("jedoxtest/EU_PM_CUBE02","EUPM_Mittel2_Cube",AT_ExSc_Datenstand,"Alle Beteiligungen","Alle Koordinatoren","Alle Unternehmensgrößen","-2","Alle Organisationstypen",28,"Alle Expertevaluierungsstatus","-2","-2",1,"-2","Alle",$S45,E$7)</f>
        <v>1</v>
      </c>
      <c r="F45" s="586">
        <f ca="1">_xll.PALO.DATAC("jedoxtest/EU_PM_CUBE02","EUPM_Mittel2_Cube",AT_ExSc_Datenstand,"Alle Beteiligungen","Alle Koordinatoren","Alle Unternehmensgrößen","-2","Alle Organisationstypen",28,"Alle Expertevaluierungsstatus","-2","-2",1,"-2","Alle",$S45,F$7)</f>
        <v>705034.81</v>
      </c>
      <c r="G45" s="586">
        <f ca="1">_xll.PALO.DATAC("jedoxtest/EU_PM_CUBE02","EUPM_Mittel2_Cube",AT_ExSc_Datenstand,"Alle Beteiligungen","Alle Koordinatoren","Alle Unternehmensgrößen","-2","Alle Organisationstypen",28,"Alle Expertevaluierungsstatus","-2","-2",1,"-2","Alle",$S45,G$7)</f>
        <v>0</v>
      </c>
      <c r="S45" s="667">
        <v>2572</v>
      </c>
      <c r="T45" s="585" t="str">
        <f ca="1">_xll.PALO.DATA("jedoxtest/EU_PM_CUBE02","#_Call","Bezeichnung",$S45)</f>
        <v>HORIZON-EIC-2021-NCP-01</v>
      </c>
      <c r="U45" s="584">
        <f t="shared" ca="1" si="14"/>
        <v>23</v>
      </c>
      <c r="X45"/>
      <c r="Y45" t="str">
        <f ca="1">_xll.PALO.DATA("jedoxtest/EU_PM_CUBE02","#_Call","Bezeichnung",X45)</f>
        <v/>
      </c>
    </row>
    <row r="46" spans="1:25" s="584" customFormat="1" hidden="1">
      <c r="A46" s="614" t="b">
        <f ca="1">_xll.PALO.HIDEROW(ISBLANK($A$1))</f>
        <v>1</v>
      </c>
      <c r="D46" s="594" t="str">
        <f t="shared" ca="1" si="13"/>
        <v>EIC-2021-PUBLICBUY-01</v>
      </c>
      <c r="E46" s="586">
        <f ca="1">_xll.PALO.DATAC("jedoxtest/EU_PM_CUBE02","EUPM_Mittel2_Cube",AT_ExSc_Datenstand,"Alle Beteiligungen","Alle Koordinatoren","Alle Unternehmensgrößen","-2","Alle Organisationstypen",28,"Alle Expertevaluierungsstatus","-2","-2",1,"-2","Alle",$S46,E$7)</f>
        <v>0</v>
      </c>
      <c r="F46" s="586">
        <f ca="1">_xll.PALO.DATAC("jedoxtest/EU_PM_CUBE02","EUPM_Mittel2_Cube",AT_ExSc_Datenstand,"Alle Beteiligungen","Alle Koordinatoren","Alle Unternehmensgrößen","-2","Alle Organisationstypen",28,"Alle Expertevaluierungsstatus","-2","-2",1,"-2","Alle",$S46,F$7)</f>
        <v>0</v>
      </c>
      <c r="G46" s="586">
        <f ca="1">_xll.PALO.DATAC("jedoxtest/EU_PM_CUBE02","EUPM_Mittel2_Cube",AT_ExSc_Datenstand,"Alle Beteiligungen","Alle Koordinatoren","Alle Unternehmensgrößen","-2","Alle Organisationstypen",28,"Alle Expertevaluierungsstatus","-2","-2",1,"-2","Alle",$S46,G$7)</f>
        <v>0</v>
      </c>
      <c r="S46" s="667">
        <v>2574</v>
      </c>
      <c r="T46" s="585" t="str">
        <f ca="1">_xll.PALO.DATA("jedoxtest/EU_PM_CUBE02","#_Call","Bezeichnung",$S46)</f>
        <v>HORIZON-EIC-2021-PUBLICBUY-01</v>
      </c>
      <c r="U46" s="584">
        <f t="shared" ca="1" si="14"/>
        <v>29</v>
      </c>
      <c r="X46"/>
      <c r="Y46" t="str">
        <f ca="1">_xll.PALO.DATA("jedoxtest/EU_PM_CUBE02","#_Call","Bezeichnung",X46)</f>
        <v/>
      </c>
    </row>
    <row r="47" spans="1:25" s="584" customFormat="1" hidden="1">
      <c r="A47" s="614" t="b">
        <f ca="1">_xll.PALO.HIDEROW(ISBLANK($A$1))</f>
        <v>1</v>
      </c>
      <c r="D47" s="594" t="str">
        <f t="shared" ca="1" si="13"/>
        <v>EIC-2021-STARTUPEU-01</v>
      </c>
      <c r="E47" s="586">
        <f ca="1">_xll.PALO.DATAC("jedoxtest/EU_PM_CUBE02","EUPM_Mittel2_Cube",AT_ExSc_Datenstand,"Alle Beteiligungen","Alle Koordinatoren","Alle Unternehmensgrößen","-2","Alle Organisationstypen",28,"Alle Expertevaluierungsstatus","-2","-2",1,"-2","Alle",$S47,E$7)</f>
        <v>0</v>
      </c>
      <c r="F47" s="586">
        <f ca="1">_xll.PALO.DATAC("jedoxtest/EU_PM_CUBE02","EUPM_Mittel2_Cube",AT_ExSc_Datenstand,"Alle Beteiligungen","Alle Koordinatoren","Alle Unternehmensgrößen","-2","Alle Organisationstypen",28,"Alle Expertevaluierungsstatus","-2","-2",1,"-2","Alle",$S47,F$7)</f>
        <v>0</v>
      </c>
      <c r="G47" s="586">
        <f ca="1">_xll.PALO.DATAC("jedoxtest/EU_PM_CUBE02","EUPM_Mittel2_Cube",AT_ExSc_Datenstand,"Alle Beteiligungen","Alle Koordinatoren","Alle Unternehmensgrößen","-2","Alle Organisationstypen",28,"Alle Expertevaluierungsstatus","-2","-2",1,"-2","Alle",$S47,G$7)</f>
        <v>0</v>
      </c>
      <c r="S47" s="667">
        <v>2753</v>
      </c>
      <c r="T47" s="585" t="str">
        <f ca="1">_xll.PALO.DATA("jedoxtest/EU_PM_CUBE02","#_Call","Bezeichnung",$S47)</f>
        <v>HORIZON-EIC-2021-STARTUPEU-01</v>
      </c>
      <c r="U47" s="584">
        <f t="shared" ca="1" si="14"/>
        <v>29</v>
      </c>
      <c r="X47"/>
      <c r="Y47" t="str">
        <f ca="1">_xll.PALO.DATA("jedoxtest/EU_PM_CUBE02","#_Call","Bezeichnung",X47)</f>
        <v/>
      </c>
    </row>
    <row r="48" spans="1:25" s="584" customFormat="1" hidden="1">
      <c r="A48" s="614" t="b">
        <f ca="1">_xll.PALO.HIDEROW(ISBLANK($A$1))</f>
        <v>1</v>
      </c>
      <c r="D48" s="594" t="str">
        <f t="shared" ca="1" si="13"/>
        <v>EIC-2022-AIBP-TRAINING-IBA</v>
      </c>
      <c r="E48" s="586">
        <f ca="1">_xll.PALO.DATAC("jedoxtest/EU_PM_CUBE02","EUPM_Mittel2_Cube",AT_ExSc_Datenstand,"Alle Beteiligungen","Alle Koordinatoren","Alle Unternehmensgrößen","-2","Alle Organisationstypen",28,"Alle Expertevaluierungsstatus","-2","-2",1,"-2","Alle",$S48,E$7)</f>
        <v>0</v>
      </c>
      <c r="F48" s="586">
        <f ca="1">_xll.PALO.DATAC("jedoxtest/EU_PM_CUBE02","EUPM_Mittel2_Cube",AT_ExSc_Datenstand,"Alle Beteiligungen","Alle Koordinatoren","Alle Unternehmensgrößen","-2","Alle Organisationstypen",28,"Alle Expertevaluierungsstatus","-2","-2",1,"-2","Alle",$S48,F$7)</f>
        <v>0</v>
      </c>
      <c r="G48" s="586">
        <f ca="1">_xll.PALO.DATAC("jedoxtest/EU_PM_CUBE02","EUPM_Mittel2_Cube",AT_ExSc_Datenstand,"Alle Beteiligungen","Alle Koordinatoren","Alle Unternehmensgrößen","-2","Alle Organisationstypen",28,"Alle Expertevaluierungsstatus","-2","-2",1,"-2","Alle",$S48,G$7)</f>
        <v>0</v>
      </c>
      <c r="S48" s="667">
        <v>2754</v>
      </c>
      <c r="T48" s="585" t="str">
        <f ca="1">_xll.PALO.DATA("jedoxtest/EU_PM_CUBE02","#_Call","Bezeichnung",$S48)</f>
        <v>HORIZON-EIC-2022-AIBP-TRAINING-IBA</v>
      </c>
      <c r="U48" s="584">
        <f t="shared" ca="1" si="14"/>
        <v>34</v>
      </c>
      <c r="X48"/>
      <c r="Y48" t="str">
        <f ca="1">_xll.PALO.DATA("jedoxtest/EU_PM_CUBE02","#_Call","Bezeichnung",X48)</f>
        <v/>
      </c>
    </row>
    <row r="49" spans="1:25" s="584" customFormat="1" hidden="1">
      <c r="A49" s="614" t="b">
        <f ca="1">_xll.PALO.HIDEROW(ISBLANK($A$1))</f>
        <v>1</v>
      </c>
      <c r="D49" s="594" t="str">
        <f t="shared" ca="1" si="13"/>
        <v>EIC-2022-AIBTRTOOL-IBA</v>
      </c>
      <c r="E49" s="586">
        <f ca="1">_xll.PALO.DATAC("jedoxtest/EU_PM_CUBE02","EUPM_Mittel2_Cube",AT_ExSc_Datenstand,"Alle Beteiligungen","Alle Koordinatoren","Alle Unternehmensgrößen","-2","Alle Organisationstypen",28,"Alle Expertevaluierungsstatus","-2","-2",1,"-2","Alle",$S49,E$7)</f>
        <v>0</v>
      </c>
      <c r="F49" s="586">
        <f ca="1">_xll.PALO.DATAC("jedoxtest/EU_PM_CUBE02","EUPM_Mittel2_Cube",AT_ExSc_Datenstand,"Alle Beteiligungen","Alle Koordinatoren","Alle Unternehmensgrößen","-2","Alle Organisationstypen",28,"Alle Expertevaluierungsstatus","-2","-2",1,"-2","Alle",$S49,F$7)</f>
        <v>0</v>
      </c>
      <c r="G49" s="586">
        <f ca="1">_xll.PALO.DATAC("jedoxtest/EU_PM_CUBE02","EUPM_Mittel2_Cube",AT_ExSc_Datenstand,"Alle Beteiligungen","Alle Koordinatoren","Alle Unternehmensgrößen","-2","Alle Organisationstypen",28,"Alle Expertevaluierungsstatus","-2","-2",1,"-2","Alle",$S49,G$7)</f>
        <v>0</v>
      </c>
      <c r="S49" s="667">
        <v>2755</v>
      </c>
      <c r="T49" s="585" t="str">
        <f ca="1">_xll.PALO.DATA("jedoxtest/EU_PM_CUBE02","#_Call","Bezeichnung",$S49)</f>
        <v>HORIZON-EIC-2022-AIBTRTOOL-IBA</v>
      </c>
      <c r="U49" s="584">
        <f t="shared" ca="1" si="14"/>
        <v>30</v>
      </c>
      <c r="X49"/>
      <c r="Y49" t="str">
        <f ca="1">_xll.PALO.DATA("jedoxtest/EU_PM_CUBE02","#_Call","Bezeichnung",X49)</f>
        <v/>
      </c>
    </row>
    <row r="50" spans="1:25" s="584" customFormat="1" hidden="1">
      <c r="A50" s="614" t="b">
        <f ca="1">_xll.PALO.HIDEROW(ISBLANK($A$1))</f>
        <v>1</v>
      </c>
      <c r="D50" s="594" t="str">
        <f t="shared" ca="1" si="13"/>
        <v>EIC-2022-COMMUNITIES-01</v>
      </c>
      <c r="E50" s="586">
        <f ca="1">_xll.PALO.DATAC("jedoxtest/EU_PM_CUBE02","EUPM_Mittel2_Cube",AT_ExSc_Datenstand,"Alle Beteiligungen","Alle Koordinatoren","Alle Unternehmensgrößen","-2","Alle Organisationstypen",28,"Alle Expertevaluierungsstatus","-2","-2",1,"-2","Alle",$S50,E$7)</f>
        <v>0</v>
      </c>
      <c r="F50" s="586">
        <f ca="1">_xll.PALO.DATAC("jedoxtest/EU_PM_CUBE02","EUPM_Mittel2_Cube",AT_ExSc_Datenstand,"Alle Beteiligungen","Alle Koordinatoren","Alle Unternehmensgrößen","-2","Alle Organisationstypen",28,"Alle Expertevaluierungsstatus","-2","-2",1,"-2","Alle",$S50,F$7)</f>
        <v>0</v>
      </c>
      <c r="G50" s="586">
        <f ca="1">_xll.PALO.DATAC("jedoxtest/EU_PM_CUBE02","EUPM_Mittel2_Cube",AT_ExSc_Datenstand,"Alle Beteiligungen","Alle Koordinatoren","Alle Unternehmensgrößen","-2","Alle Organisationstypen",28,"Alle Expertevaluierungsstatus","-2","-2",1,"-2","Alle",$S50,G$7)</f>
        <v>0</v>
      </c>
      <c r="S50" s="667">
        <v>2853</v>
      </c>
      <c r="T50" s="585" t="str">
        <f ca="1">_xll.PALO.DATA("jedoxtest/EU_PM_CUBE02","#_Call","Bezeichnung",$S50)</f>
        <v>HORIZON-EIC-2022-COMMUNITIES-01</v>
      </c>
      <c r="U50" s="584">
        <f t="shared" ca="1" si="14"/>
        <v>31</v>
      </c>
      <c r="X50"/>
      <c r="Y50" t="str">
        <f ca="1">_xll.PALO.DATA("jedoxtest/EU_PM_CUBE02","#_Call","Bezeichnung",X50)</f>
        <v/>
      </c>
    </row>
    <row r="51" spans="1:25" s="584" customFormat="1" hidden="1">
      <c r="A51" s="614" t="b">
        <f ca="1">_xll.PALO.HIDEROW(ISBLANK($A$1))</f>
        <v>1</v>
      </c>
      <c r="D51" s="593" t="str">
        <f t="shared" ca="1" si="13"/>
        <v>EIC-2022-GENDER-01</v>
      </c>
      <c r="E51" s="587">
        <f ca="1">_xll.PALO.DATAC("jedoxtest/EU_PM_CUBE02","EUPM_Mittel2_Cube",AT_ExSc_Datenstand,"Alle Beteiligungen","Alle Koordinatoren","Alle Unternehmensgrößen","-2","Alle Organisationstypen",28,"Alle Expertevaluierungsstatus","-2","-2",1,"-2","Alle",$S51,E$7)</f>
        <v>0</v>
      </c>
      <c r="F51" s="587">
        <f ca="1">_xll.PALO.DATAC("jedoxtest/EU_PM_CUBE02","EUPM_Mittel2_Cube",AT_ExSc_Datenstand,"Alle Beteiligungen","Alle Koordinatoren","Alle Unternehmensgrößen","-2","Alle Organisationstypen",28,"Alle Expertevaluierungsstatus","-2","-2",1,"-2","Alle",$S51,F$7)</f>
        <v>0</v>
      </c>
      <c r="G51" s="587">
        <f ca="1">_xll.PALO.DATAC("jedoxtest/EU_PM_CUBE02","EUPM_Mittel2_Cube",AT_ExSc_Datenstand,"Alle Beteiligungen","Alle Koordinatoren","Alle Unternehmensgrößen","-2","Alle Organisationstypen",28,"Alle Expertevaluierungsstatus","-2","-2",1,"-2","Alle",$S51,G$7)</f>
        <v>0</v>
      </c>
      <c r="S51" s="667">
        <v>2983</v>
      </c>
      <c r="T51" s="585" t="str">
        <f ca="1">_xll.PALO.DATA("jedoxtest/EU_PM_CUBE02","#_Call","Bezeichnung",$S51)</f>
        <v>HORIZON-EIC-2022-GENDER-01</v>
      </c>
      <c r="U51" s="584">
        <f t="shared" ca="1" si="14"/>
        <v>26</v>
      </c>
      <c r="X51"/>
      <c r="Y51" t="str">
        <f ca="1">_xll.PALO.DATA("jedoxtest/EU_PM_CUBE02","#_Call","Bezeichnung",X51)</f>
        <v/>
      </c>
    </row>
    <row r="52" spans="1:25" s="584" customFormat="1" hidden="1">
      <c r="A52" s="614" t="b">
        <f ca="1">_xll.PALO.HIDEROW(ISBLANK($A$1))</f>
        <v>1</v>
      </c>
      <c r="D52" s="594" t="str">
        <f t="shared" ca="1" si="13"/>
        <v>EIC-2022-SCALEUP-01</v>
      </c>
      <c r="E52" s="586">
        <f ca="1">_xll.PALO.DATAC("jedoxtest/EU_PM_CUBE02","EUPM_Mittel2_Cube",AT_ExSc_Datenstand,"Alle Beteiligungen","Alle Koordinatoren","Alle Unternehmensgrößen","-2","Alle Organisationstypen",28,"Alle Expertevaluierungsstatus","-2","-2",1,"-2","Alle",$S52,E$7)</f>
        <v>0</v>
      </c>
      <c r="F52" s="586">
        <f ca="1">_xll.PALO.DATAC("jedoxtest/EU_PM_CUBE02","EUPM_Mittel2_Cube",AT_ExSc_Datenstand,"Alle Beteiligungen","Alle Koordinatoren","Alle Unternehmensgrößen","-2","Alle Organisationstypen",28,"Alle Expertevaluierungsstatus","-2","-2",1,"-2","Alle",$S52,F$7)</f>
        <v>0</v>
      </c>
      <c r="G52" s="586">
        <f ca="1">_xll.PALO.DATAC("jedoxtest/EU_PM_CUBE02","EUPM_Mittel2_Cube",AT_ExSc_Datenstand,"Alle Beteiligungen","Alle Koordinatoren","Alle Unternehmensgrößen","-2","Alle Organisationstypen",28,"Alle Expertevaluierungsstatus","-2","-2",1,"-2","Alle",$S52,G$7)</f>
        <v>0</v>
      </c>
      <c r="S52" s="667">
        <v>2855</v>
      </c>
      <c r="T52" s="585" t="str">
        <f ca="1">_xll.PALO.DATA("jedoxtest/EU_PM_CUBE02","#_Call","Bezeichnung",$S52)</f>
        <v>HORIZON-EIC-2022-SCALEUP-01</v>
      </c>
      <c r="U52" s="584">
        <f t="shared" ca="1" si="14"/>
        <v>27</v>
      </c>
      <c r="X52"/>
      <c r="Y52" t="str">
        <f ca="1">_xll.PALO.DATA("jedoxtest/EU_PM_CUBE02","#_Call","Bezeichnung",X52)</f>
        <v/>
      </c>
    </row>
    <row r="53" spans="1:25" s="584" customFormat="1" hidden="1">
      <c r="A53" s="614" t="b">
        <f ca="1">_xll.PALO.HIDEROW(ISBLANK($A$1))</f>
        <v>1</v>
      </c>
      <c r="D53" s="594" t="str">
        <f t="shared" ca="1" si="13"/>
        <v>EIC-2022-STARTUPEU-01</v>
      </c>
      <c r="E53" s="586">
        <f ca="1">_xll.PALO.DATAC("jedoxtest/EU_PM_CUBE02","EUPM_Mittel2_Cube",AT_ExSc_Datenstand,"Alle Beteiligungen","Alle Koordinatoren","Alle Unternehmensgrößen","-2","Alle Organisationstypen",28,"Alle Expertevaluierungsstatus","-2","-2",1,"-2","Alle",$S53,E$7)</f>
        <v>0</v>
      </c>
      <c r="F53" s="586">
        <f ca="1">_xll.PALO.DATAC("jedoxtest/EU_PM_CUBE02","EUPM_Mittel2_Cube",AT_ExSc_Datenstand,"Alle Beteiligungen","Alle Koordinatoren","Alle Unternehmensgrößen","-2","Alle Organisationstypen",28,"Alle Expertevaluierungsstatus","-2","-2",1,"-2","Alle",$S53,F$7)</f>
        <v>0</v>
      </c>
      <c r="G53" s="586">
        <f ca="1">_xll.PALO.DATAC("jedoxtest/EU_PM_CUBE02","EUPM_Mittel2_Cube",AT_ExSc_Datenstand,"Alle Beteiligungen","Alle Koordinatoren","Alle Unternehmensgrößen","-2","Alle Organisationstypen",28,"Alle Expertevaluierungsstatus","-2","-2",1,"-2","Alle",$S53,G$7)</f>
        <v>0</v>
      </c>
      <c r="S53" s="667">
        <v>2925</v>
      </c>
      <c r="T53" s="585" t="str">
        <f ca="1">_xll.PALO.DATA("jedoxtest/EU_PM_CUBE02","#_Call","Bezeichnung",$S53)</f>
        <v>HORIZON-EIC-2022-STARTUPEU-01</v>
      </c>
      <c r="U53" s="584">
        <f t="shared" ca="1" si="14"/>
        <v>29</v>
      </c>
      <c r="X53"/>
      <c r="Y53" t="str">
        <f ca="1">_xll.PALO.DATA("jedoxtest/EU_PM_CUBE02","#_Call","Bezeichnung",X53)</f>
        <v/>
      </c>
    </row>
    <row r="54" spans="1:25" s="584" customFormat="1" hidden="1">
      <c r="A54" s="614" t="b">
        <f ca="1">_xll.PALO.HIDEROW(ISBLANK($A$1))</f>
        <v>1</v>
      </c>
      <c r="D54" s="594" t="str">
        <f t="shared" ca="1" si="13"/>
        <v>EIC-2022-UKRAINIANTECH-01</v>
      </c>
      <c r="E54" s="586">
        <f ca="1">_xll.PALO.DATAC("jedoxtest/EU_PM_CUBE02","EUPM_Mittel2_Cube",AT_ExSc_Datenstand,"Alle Beteiligungen","Alle Koordinatoren","Alle Unternehmensgrößen","-2","Alle Organisationstypen",28,"Alle Expertevaluierungsstatus","-2","-2",1,"-2","Alle",$S54,E$7)</f>
        <v>1</v>
      </c>
      <c r="F54" s="586">
        <f ca="1">_xll.PALO.DATAC("jedoxtest/EU_PM_CUBE02","EUPM_Mittel2_Cube",AT_ExSc_Datenstand,"Alle Beteiligungen","Alle Koordinatoren","Alle Unternehmensgrößen","-2","Alle Organisationstypen",28,"Alle Expertevaluierungsstatus","-2","-2",1,"-2","Alle",$S54,F$7)</f>
        <v>36400</v>
      </c>
      <c r="G54" s="586">
        <f ca="1">_xll.PALO.DATAC("jedoxtest/EU_PM_CUBE02","EUPM_Mittel2_Cube",AT_ExSc_Datenstand,"Alle Beteiligungen","Alle Koordinatoren","Alle Unternehmensgrößen","-2","Alle Organisationstypen",28,"Alle Expertevaluierungsstatus","-2","-2",1,"-2","Alle",$S54,G$7)</f>
        <v>0</v>
      </c>
      <c r="S54" s="667">
        <v>2926</v>
      </c>
      <c r="T54" s="585" t="str">
        <f ca="1">_xll.PALO.DATA("jedoxtest/EU_PM_CUBE02","#_Call","Bezeichnung",$S54)</f>
        <v>HORIZON-EIC-2022-UKRAINIANTECH-01</v>
      </c>
      <c r="U54" s="584">
        <f t="shared" ca="1" si="14"/>
        <v>33</v>
      </c>
      <c r="X54"/>
      <c r="Y54" t="str">
        <f ca="1">_xll.PALO.DATA("jedoxtest/EU_PM_CUBE02","#_Call","Bezeichnung",X54)</f>
        <v/>
      </c>
    </row>
    <row r="55" spans="1:25" s="584" customFormat="1" hidden="1">
      <c r="A55" s="677" t="b">
        <f ca="1">_xll.PALO.HIDEROW(ISBLANK($A$1))</f>
        <v>1</v>
      </c>
      <c r="D55" s="594" t="str">
        <f t="shared" ca="1" si="13"/>
        <v>EIC-2023-BOOSTER-IBA-01</v>
      </c>
      <c r="E55" s="586">
        <f ca="1">_xll.PALO.DATAC("jedoxtest/EU_PM_CUBE02","EUPM_Mittel2_Cube",AT_ExSc_Datenstand,"Alle Beteiligungen","Alle Koordinatoren","Alle Unternehmensgrößen","-2","Alle Organisationstypen",28,"Alle Expertevaluierungsstatus","-2","-2",1,"-2","Alle",$S55,E$7)</f>
        <v>0</v>
      </c>
      <c r="F55" s="586">
        <f ca="1">_xll.PALO.DATAC("jedoxtest/EU_PM_CUBE02","EUPM_Mittel2_Cube",AT_ExSc_Datenstand,"Alle Beteiligungen","Alle Koordinatoren","Alle Unternehmensgrößen","-2","Alle Organisationstypen",28,"Alle Expertevaluierungsstatus","-2","-2",1,"-2","Alle",$S55,F$7)</f>
        <v>0</v>
      </c>
      <c r="G55" s="586">
        <f ca="1">_xll.PALO.DATAC("jedoxtest/EU_PM_CUBE02","EUPM_Mittel2_Cube",AT_ExSc_Datenstand,"Alle Beteiligungen","Alle Koordinatoren","Alle Unternehmensgrößen","-2","Alle Organisationstypen",28,"Alle Expertevaluierungsstatus","-2","-2",1,"-2","Alle",$S55,G$7)</f>
        <v>0</v>
      </c>
      <c r="S55" s="667">
        <v>3016</v>
      </c>
      <c r="T55" s="585" t="str">
        <f ca="1">_xll.PALO.DATA("jedoxtest/EU_PM_CUBE02","#_Call","Bezeichnung",$S55)</f>
        <v>HORIZON-EIC-2023-BOOSTER-IBA-01</v>
      </c>
      <c r="U55" s="584">
        <f t="shared" ca="1" si="14"/>
        <v>31</v>
      </c>
      <c r="X55"/>
      <c r="Y55"/>
    </row>
    <row r="56" spans="1:25" s="584" customFormat="1" hidden="1">
      <c r="A56" s="677" t="b">
        <f ca="1">_xll.PALO.HIDEROW(ISBLANK($A$1))</f>
        <v>1</v>
      </c>
      <c r="D56" s="594" t="str">
        <f t="shared" ca="1" si="13"/>
        <v>EIC-2023-INNOVPRO-01</v>
      </c>
      <c r="E56" s="586">
        <f ca="1">_xll.PALO.DATAC("jedoxtest/EU_PM_CUBE02","EUPM_Mittel2_Cube",AT_ExSc_Datenstand,"Alle Beteiligungen","Alle Koordinatoren","Alle Unternehmensgrößen","-2","Alle Organisationstypen",28,"Alle Expertevaluierungsstatus","-2","-2",1,"-2","Alle",$S56,E$7)</f>
        <v>0</v>
      </c>
      <c r="F56" s="586">
        <f ca="1">_xll.PALO.DATAC("jedoxtest/EU_PM_CUBE02","EUPM_Mittel2_Cube",AT_ExSc_Datenstand,"Alle Beteiligungen","Alle Koordinatoren","Alle Unternehmensgrößen","-2","Alle Organisationstypen",28,"Alle Expertevaluierungsstatus","-2","-2",1,"-2","Alle",$S56,F$7)</f>
        <v>0</v>
      </c>
      <c r="G56" s="586">
        <f ca="1">_xll.PALO.DATAC("jedoxtest/EU_PM_CUBE02","EUPM_Mittel2_Cube",AT_ExSc_Datenstand,"Alle Beteiligungen","Alle Koordinatoren","Alle Unternehmensgrößen","-2","Alle Organisationstypen",28,"Alle Expertevaluierungsstatus","-2","-2",1,"-2","Alle",$S56,G$7)</f>
        <v>0</v>
      </c>
      <c r="S56" s="667">
        <v>3019</v>
      </c>
      <c r="T56" s="585" t="str">
        <f ca="1">_xll.PALO.DATA("jedoxtest/EU_PM_CUBE02","#_Call","Bezeichnung",$S56)</f>
        <v>HORIZON-EIC-2023-INNOVPRO-01</v>
      </c>
      <c r="U56" s="584">
        <f t="shared" ca="1" si="14"/>
        <v>28</v>
      </c>
      <c r="X56"/>
      <c r="Y56"/>
    </row>
    <row r="57" spans="1:25" s="584" customFormat="1" hidden="1">
      <c r="A57" s="677" t="b">
        <f ca="1">_xll.PALO.HIDEROW(ISBLANK($A$1))</f>
        <v>1</v>
      </c>
      <c r="D57" s="594" t="str">
        <f t="shared" ca="1" si="13"/>
        <v>EIC-2023-PARTNERS-01</v>
      </c>
      <c r="E57" s="586">
        <f ca="1">_xll.PALO.DATAC("jedoxtest/EU_PM_CUBE02","EUPM_Mittel2_Cube",AT_ExSc_Datenstand,"Alle Beteiligungen","Alle Koordinatoren","Alle Unternehmensgrößen","-2","Alle Organisationstypen",28,"Alle Expertevaluierungsstatus","-2","-2",1,"-2","Alle",$S57,E$7)</f>
        <v>0</v>
      </c>
      <c r="F57" s="586">
        <f ca="1">_xll.PALO.DATAC("jedoxtest/EU_PM_CUBE02","EUPM_Mittel2_Cube",AT_ExSc_Datenstand,"Alle Beteiligungen","Alle Koordinatoren","Alle Unternehmensgrößen","-2","Alle Organisationstypen",28,"Alle Expertevaluierungsstatus","-2","-2",1,"-2","Alle",$S57,F$7)</f>
        <v>0</v>
      </c>
      <c r="G57" s="586">
        <f ca="1">_xll.PALO.DATAC("jedoxtest/EU_PM_CUBE02","EUPM_Mittel2_Cube",AT_ExSc_Datenstand,"Alle Beteiligungen","Alle Koordinatoren","Alle Unternehmensgrößen","-2","Alle Organisationstypen",28,"Alle Expertevaluierungsstatus","-2","-2",1,"-2","Alle",$S57,G$7)</f>
        <v>0</v>
      </c>
      <c r="S57" s="667">
        <v>3020</v>
      </c>
      <c r="T57" s="585" t="str">
        <f ca="1">_xll.PALO.DATA("jedoxtest/EU_PM_CUBE02","#_Call","Bezeichnung",$S57)</f>
        <v>HORIZON-EIC-2023-PARTNERS-01</v>
      </c>
      <c r="U57" s="584">
        <f t="shared" ca="1" si="14"/>
        <v>28</v>
      </c>
      <c r="X57"/>
      <c r="Y57"/>
    </row>
    <row r="58" spans="1:25" s="584" customFormat="1" hidden="1">
      <c r="A58" s="614" t="b">
        <f ca="1">_xll.PALO.HIDEROW(ISBLANK($A$1))</f>
        <v>1</v>
      </c>
      <c r="D58" s="594" t="str">
        <f t="shared" ca="1" si="13"/>
        <v>EIC-2023-SPAIN-IBA-01</v>
      </c>
      <c r="E58" s="586">
        <f ca="1">_xll.PALO.DATAC("jedoxtest/EU_PM_CUBE02","EUPM_Mittel2_Cube",AT_ExSc_Datenstand,"Alle Beteiligungen","Alle Koordinatoren","Alle Unternehmensgrößen","-2","Alle Organisationstypen",28,"Alle Expertevaluierungsstatus","-2","-2",1,"-2","Alle",$S58,E$7)</f>
        <v>0</v>
      </c>
      <c r="F58" s="586">
        <f ca="1">_xll.PALO.DATAC("jedoxtest/EU_PM_CUBE02","EUPM_Mittel2_Cube",AT_ExSc_Datenstand,"Alle Beteiligungen","Alle Koordinatoren","Alle Unternehmensgrößen","-2","Alle Organisationstypen",28,"Alle Expertevaluierungsstatus","-2","-2",1,"-2","Alle",$S58,F$7)</f>
        <v>0</v>
      </c>
      <c r="G58" s="586">
        <f ca="1">_xll.PALO.DATAC("jedoxtest/EU_PM_CUBE02","EUPM_Mittel2_Cube",AT_ExSc_Datenstand,"Alle Beteiligungen","Alle Koordinatoren","Alle Unternehmensgrößen","-2","Alle Organisationstypen",28,"Alle Expertevaluierungsstatus","-2","-2",1,"-2","Alle",$S58,G$7)</f>
        <v>0</v>
      </c>
      <c r="S58" s="667">
        <v>2957</v>
      </c>
      <c r="T58" s="585" t="str">
        <f ca="1">_xll.PALO.DATA("jedoxtest/EU_PM_CUBE02","#_Call","Bezeichnung",$S58)</f>
        <v>HORIZON-EIC-2023-SPAIN-IBA-01</v>
      </c>
      <c r="U58" s="584">
        <f t="shared" ca="1" si="14"/>
        <v>29</v>
      </c>
      <c r="X58"/>
      <c r="Y58" t="str">
        <f ca="1">_xll.PALO.DATA("jedoxtest/EU_PM_CUBE02","#_Call","Bezeichnung",X58)</f>
        <v/>
      </c>
    </row>
    <row r="59" spans="1:25" s="584" customFormat="1" hidden="1">
      <c r="A59" s="614" t="b">
        <f ca="1">_xll.PALO.HIDEROW(ISBLANK($A$1))</f>
        <v>1</v>
      </c>
      <c r="D59" s="594" t="str">
        <f t="shared" ca="1" si="13"/>
        <v>EIC-2023-SWEDPC-IBA-01</v>
      </c>
      <c r="E59" s="586">
        <f ca="1">_xll.PALO.DATAC("jedoxtest/EU_PM_CUBE02","EUPM_Mittel2_Cube",AT_ExSc_Datenstand,"Alle Beteiligungen","Alle Koordinatoren","Alle Unternehmensgrößen","-2","Alle Organisationstypen",28,"Alle Expertevaluierungsstatus","-2","-2",1,"-2","Alle",$S59,E$7)</f>
        <v>0</v>
      </c>
      <c r="F59" s="586">
        <f ca="1">_xll.PALO.DATAC("jedoxtest/EU_PM_CUBE02","EUPM_Mittel2_Cube",AT_ExSc_Datenstand,"Alle Beteiligungen","Alle Koordinatoren","Alle Unternehmensgrößen","-2","Alle Organisationstypen",28,"Alle Expertevaluierungsstatus","-2","-2",1,"-2","Alle",$S59,F$7)</f>
        <v>0</v>
      </c>
      <c r="G59" s="586">
        <f ca="1">_xll.PALO.DATAC("jedoxtest/EU_PM_CUBE02","EUPM_Mittel2_Cube",AT_ExSc_Datenstand,"Alle Beteiligungen","Alle Koordinatoren","Alle Unternehmensgrößen","-2","Alle Organisationstypen",28,"Alle Expertevaluierungsstatus","-2","-2",1,"-2","Alle",$S59,G$7)</f>
        <v>0</v>
      </c>
      <c r="S59" s="667">
        <v>2928</v>
      </c>
      <c r="T59" s="585" t="str">
        <f ca="1">_xll.PALO.DATA("jedoxtest/EU_PM_CUBE02","#_Call","Bezeichnung",$S59)</f>
        <v>HORIZON-EIC-2023-SWEDPC-IBA-01</v>
      </c>
      <c r="U59" s="584">
        <f t="shared" ca="1" si="14"/>
        <v>30</v>
      </c>
      <c r="X59"/>
      <c r="Y59" t="str">
        <f ca="1">_xll.PALO.DATA("jedoxtest/EU_PM_CUBE02","#_Call","Bezeichnung",X59)</f>
        <v/>
      </c>
    </row>
    <row r="60" spans="1:25" s="584" customFormat="1" hidden="1">
      <c r="A60" s="662" t="b">
        <f ca="1">_xll.PALO.HIDEROW(ISBLANK($A$1))</f>
        <v>1</v>
      </c>
      <c r="D60" s="594" t="str">
        <f t="shared" ca="1" si="13"/>
        <v>EIC-2023-TALENTS-01</v>
      </c>
      <c r="E60" s="586">
        <f ca="1">_xll.PALO.DATAC("jedoxtest/EU_PM_CUBE02","EUPM_Mittel2_Cube",AT_ExSc_Datenstand,"Alle Beteiligungen","Alle Koordinatoren","Alle Unternehmensgrößen","-2","Alle Organisationstypen",28,"Alle Expertevaluierungsstatus","-2","-2",1,"-2","Alle",$S60,E$7)</f>
        <v>0</v>
      </c>
      <c r="F60" s="586">
        <f ca="1">_xll.PALO.DATAC("jedoxtest/EU_PM_CUBE02","EUPM_Mittel2_Cube",AT_ExSc_Datenstand,"Alle Beteiligungen","Alle Koordinatoren","Alle Unternehmensgrößen","-2","Alle Organisationstypen",28,"Alle Expertevaluierungsstatus","-2","-2",1,"-2","Alle",$S60,F$7)</f>
        <v>0</v>
      </c>
      <c r="G60" s="586">
        <f ca="1">_xll.PALO.DATAC("jedoxtest/EU_PM_CUBE02","EUPM_Mittel2_Cube",AT_ExSc_Datenstand,"Alle Beteiligungen","Alle Koordinatoren","Alle Unternehmensgrößen","-2","Alle Organisationstypen",28,"Alle Expertevaluierungsstatus","-2","-2",1,"-2","Alle",$S60,G$7)</f>
        <v>0</v>
      </c>
      <c r="S60" s="667">
        <v>3022</v>
      </c>
      <c r="T60" s="585" t="str">
        <f ca="1">_xll.PALO.DATA("jedoxtest/EU_PM_CUBE02","#_Call","Bezeichnung",$S60)</f>
        <v>HORIZON-EIC-2023-TALENTS-01</v>
      </c>
      <c r="U60" s="584">
        <f t="shared" ca="1" si="14"/>
        <v>27</v>
      </c>
      <c r="X60"/>
      <c r="Y60" t="str">
        <f ca="1">_xll.PALO.DATA("jedoxtest/EU_PM_CUBE02","#_Call","Bezeichnung",X60)</f>
        <v/>
      </c>
    </row>
    <row r="61" spans="1:25" s="584" customFormat="1" hidden="1">
      <c r="A61" s="662" t="b">
        <f ca="1">_xll.PALO.HIDEROW(ISBLANK($A$1))</f>
        <v>1</v>
      </c>
      <c r="D61" s="594" t="str">
        <f t="shared" ca="1" si="13"/>
        <v>EIC-2024-BOOSTER</v>
      </c>
      <c r="E61" s="586">
        <f ca="1">_xll.PALO.DATAC("jedoxtest/EU_PM_CUBE02","EUPM_Mittel2_Cube",AT_ExSc_Datenstand,"Alle Beteiligungen","Alle Koordinatoren","Alle Unternehmensgrößen","-2","Alle Organisationstypen",28,"Alle Expertevaluierungsstatus","-2","-2",1,"-2","Alle",$S61,E$7)</f>
        <v>0</v>
      </c>
      <c r="F61" s="586">
        <f ca="1">_xll.PALO.DATAC("jedoxtest/EU_PM_CUBE02","EUPM_Mittel2_Cube",AT_ExSc_Datenstand,"Alle Beteiligungen","Alle Koordinatoren","Alle Unternehmensgrößen","-2","Alle Organisationstypen",28,"Alle Expertevaluierungsstatus","-2","-2",1,"-2","Alle",$S61,F$7)</f>
        <v>0</v>
      </c>
      <c r="G61" s="586">
        <f ca="1">_xll.PALO.DATAC("jedoxtest/EU_PM_CUBE02","EUPM_Mittel2_Cube",AT_ExSc_Datenstand,"Alle Beteiligungen","Alle Koordinatoren","Alle Unternehmensgrößen","-2","Alle Organisationstypen",28,"Alle Expertevaluierungsstatus","-2","-2",1,"-2","Alle",$S61,G$7)</f>
        <v>0</v>
      </c>
      <c r="S61" s="667">
        <v>3101</v>
      </c>
      <c r="T61" s="585" t="str">
        <f ca="1">_xll.PALO.DATA("jedoxtest/EU_PM_CUBE02","#_Call","Bezeichnung",$S61)</f>
        <v>HORIZON-EIC-2024-BOOSTER</v>
      </c>
      <c r="U61" s="584">
        <f t="shared" ca="1" si="14"/>
        <v>24</v>
      </c>
      <c r="X61"/>
      <c r="Y61" t="str">
        <f ca="1">_xll.PALO.DATA("jedoxtest/EU_PM_CUBE02","#_Call","Bezeichnung",X61)</f>
        <v/>
      </c>
    </row>
    <row r="62" spans="1:25" s="584" customFormat="1" hidden="1">
      <c r="A62" s="662" t="b">
        <f ca="1">_xll.PALO.HIDEROW(ISBLANK($A$1))</f>
        <v>1</v>
      </c>
      <c r="D62" s="594" t="str">
        <f t="shared" ca="1" si="13"/>
        <v>EIC-2024-BOOSTER-IBA-01</v>
      </c>
      <c r="E62" s="586">
        <f ca="1">_xll.PALO.DATAC("jedoxtest/EU_PM_CUBE02","EUPM_Mittel2_Cube",AT_ExSc_Datenstand,"Alle Beteiligungen","Alle Koordinatoren","Alle Unternehmensgrößen","-2","Alle Organisationstypen",28,"Alle Expertevaluierungsstatus","-2","-2",1,"-2","Alle",$S62,E$7)</f>
        <v>1</v>
      </c>
      <c r="F62" s="586">
        <f ca="1">_xll.PALO.DATAC("jedoxtest/EU_PM_CUBE02","EUPM_Mittel2_Cube",AT_ExSc_Datenstand,"Alle Beteiligungen","Alle Koordinatoren","Alle Unternehmensgrößen","-2","Alle Organisationstypen",28,"Alle Expertevaluierungsstatus","-2","-2",1,"-2","Alle",$S62,F$7)</f>
        <v>50000</v>
      </c>
      <c r="G62" s="586">
        <f ca="1">_xll.PALO.DATAC("jedoxtest/EU_PM_CUBE02","EUPM_Mittel2_Cube",AT_ExSc_Datenstand,"Alle Beteiligungen","Alle Koordinatoren","Alle Unternehmensgrößen","-2","Alle Organisationstypen",28,"Alle Expertevaluierungsstatus","-2","-2",1,"-2","Alle",$S62,G$7)</f>
        <v>1</v>
      </c>
      <c r="S62">
        <v>3102</v>
      </c>
      <c r="T62" s="585" t="str">
        <f ca="1">_xll.PALO.DATA("jedoxtest/EU_PM_CUBE02","#_Call","Bezeichnung",$S62)</f>
        <v>HORIZON-EIC-2024-BOOSTER-IBA-01</v>
      </c>
      <c r="U62" s="584">
        <f t="shared" ca="1" si="14"/>
        <v>31</v>
      </c>
      <c r="X62"/>
      <c r="Y62" t="str">
        <f ca="1">_xll.PALO.DATA("jedoxtest/EU_PM_CUBE02","#_Call","Bezeichnung",X62)</f>
        <v/>
      </c>
    </row>
    <row r="63" spans="1:25" s="584" customFormat="1" hidden="1">
      <c r="A63" s="662" t="b">
        <f ca="1">_xll.PALO.HIDEROW(ISBLANK($A$1))</f>
        <v>1</v>
      </c>
      <c r="D63" s="594" t="str">
        <f t="shared" ca="1" si="13"/>
        <v>EIC-2024-ICAPITAL-PRIZE-02</v>
      </c>
      <c r="E63" s="586">
        <f ca="1">_xll.PALO.DATAC("jedoxtest/EU_PM_CUBE02","EUPM_Mittel2_Cube",AT_ExSc_Datenstand,"Alle Beteiligungen","Alle Koordinatoren","Alle Unternehmensgrößen","-2","Alle Organisationstypen",28,"Alle Expertevaluierungsstatus","-2","-2",1,"-2","Alle",$S63,E$7)</f>
        <v>1</v>
      </c>
      <c r="F63" s="586">
        <f ca="1">_xll.PALO.DATAC("jedoxtest/EU_PM_CUBE02","EUPM_Mittel2_Cube",AT_ExSc_Datenstand,"Alle Beteiligungen","Alle Koordinatoren","Alle Unternehmensgrößen","-2","Alle Organisationstypen",28,"Alle Expertevaluierungsstatus","-2","-2",1,"-2","Alle",$S63,F$7)</f>
        <v>0</v>
      </c>
      <c r="G63" s="586">
        <f ca="1">_xll.PALO.DATAC("jedoxtest/EU_PM_CUBE02","EUPM_Mittel2_Cube",AT_ExSc_Datenstand,"Alle Beteiligungen","Alle Koordinatoren","Alle Unternehmensgrößen","-2","Alle Organisationstypen",28,"Alle Expertevaluierungsstatus","-2","-2",1,"-2","Alle",$S63,G$7)</f>
        <v>1</v>
      </c>
      <c r="S63" s="664">
        <v>5193</v>
      </c>
      <c r="T63" s="585" t="str">
        <f ca="1">_xll.PALO.DATA("jedoxtest/EU_PM_CUBE02","#_Call","Bezeichnung",$S63)</f>
        <v>HORIZON-EIC-2024-ICAPITAL-PRIZE-02</v>
      </c>
      <c r="U63" s="584">
        <f t="shared" ref="U63" ca="1" si="15">LEN(T63)</f>
        <v>34</v>
      </c>
      <c r="V63"/>
      <c r="X63"/>
      <c r="Y63" t="str">
        <f ca="1">_xll.PALO.DATA("jedoxtest/EU_PM_CUBE02","#_Call","Bezeichnung",X63)</f>
        <v/>
      </c>
    </row>
    <row r="64" spans="1:25" s="584" customFormat="1" hidden="1">
      <c r="A64" s="662" t="b">
        <f ca="1">_xll.PALO.HIDEROW(ISBLANK($A$1))</f>
        <v>1</v>
      </c>
      <c r="D64" s="594" t="str">
        <f t="shared" ca="1" si="13"/>
        <v>EIC-2024-EUSIC-PRIZE-04</v>
      </c>
      <c r="E64" s="586">
        <f ca="1">_xll.PALO.DATAC("jedoxtest/EU_PM_CUBE02","EUPM_Mittel2_Cube",AT_ExSc_Datenstand,"Alle Beteiligungen","Alle Koordinatoren","Alle Unternehmensgrößen","-2","Alle Organisationstypen",28,"Alle Expertevaluierungsstatus","-2","-2",1,"-2","Alle",$S64,E$7)</f>
        <v>0</v>
      </c>
      <c r="F64" s="586">
        <f ca="1">_xll.PALO.DATAC("jedoxtest/EU_PM_CUBE02","EUPM_Mittel2_Cube",AT_ExSc_Datenstand,"Alle Beteiligungen","Alle Koordinatoren","Alle Unternehmensgrößen","-2","Alle Organisationstypen",28,"Alle Expertevaluierungsstatus","-2","-2",1,"-2","Alle",$S64,F$7)</f>
        <v>0</v>
      </c>
      <c r="G64" s="586">
        <f ca="1">_xll.PALO.DATAC("jedoxtest/EU_PM_CUBE02","EUPM_Mittel2_Cube",AT_ExSc_Datenstand,"Alle Beteiligungen","Alle Koordinatoren","Alle Unternehmensgrößen","-2","Alle Organisationstypen",28,"Alle Expertevaluierungsstatus","-2","-2",1,"-2","Alle",$S64,G$7)</f>
        <v>0</v>
      </c>
      <c r="S64">
        <v>5229</v>
      </c>
      <c r="T64" s="585" t="str">
        <f ca="1">_xll.PALO.DATA("jedoxtest/EU_PM_CUBE02","#_Call","Bezeichnung",$S64)</f>
        <v>HORIZON-EIC-2024-EUSIC-PRIZE-04</v>
      </c>
      <c r="U64" s="584">
        <f t="shared" ref="U64:U68" ca="1" si="16">LEN(T64)</f>
        <v>31</v>
      </c>
      <c r="V64"/>
      <c r="X64"/>
      <c r="Y64" t="str">
        <f ca="1">_xll.PALO.DATA("jedoxtest/EU_PM_CUBE02","#_Call","Bezeichnung",X64)</f>
        <v/>
      </c>
    </row>
    <row r="65" spans="1:25" s="584" customFormat="1" hidden="1">
      <c r="A65" s="662" t="b">
        <f ca="1">_xll.PALO.HIDEROW(ISBLANK($A$1))</f>
        <v>1</v>
      </c>
      <c r="D65" s="594" t="str">
        <f t="shared" ca="1" si="13"/>
        <v>EIC-2024-PRIZE-EIPA</v>
      </c>
      <c r="E65" s="586">
        <f ca="1">_xll.PALO.DATAC("jedoxtest/EU_PM_CUBE02","EUPM_Mittel2_Cube",AT_ExSc_Datenstand,"Alle Beteiligungen","Alle Koordinatoren","Alle Unternehmensgrößen","-2","Alle Organisationstypen",28,"Alle Expertevaluierungsstatus","-2","-2",1,"-2","Alle",$S65,E$7)</f>
        <v>0</v>
      </c>
      <c r="F65" s="586">
        <f ca="1">_xll.PALO.DATAC("jedoxtest/EU_PM_CUBE02","EUPM_Mittel2_Cube",AT_ExSc_Datenstand,"Alle Beteiligungen","Alle Koordinatoren","Alle Unternehmensgrößen","-2","Alle Organisationstypen",28,"Alle Expertevaluierungsstatus","-2","-2",1,"-2","Alle",$S65,F$7)</f>
        <v>0</v>
      </c>
      <c r="G65" s="586">
        <f ca="1">_xll.PALO.DATAC("jedoxtest/EU_PM_CUBE02","EUPM_Mittel2_Cube",AT_ExSc_Datenstand,"Alle Beteiligungen","Alle Koordinatoren","Alle Unternehmensgrößen","-2","Alle Organisationstypen",28,"Alle Expertevaluierungsstatus","-2","-2",1,"-2","Alle",$S65,G$7)</f>
        <v>0</v>
      </c>
      <c r="S65">
        <v>5230</v>
      </c>
      <c r="T65" s="585" t="str">
        <f ca="1">_xll.PALO.DATA("jedoxtest/EU_PM_CUBE02","#_Call","Bezeichnung",$S65)</f>
        <v>HORIZON-EIC-2024-PRIZE-EIPA</v>
      </c>
      <c r="U65" s="584">
        <f t="shared" ca="1" si="16"/>
        <v>27</v>
      </c>
      <c r="V65"/>
      <c r="X65"/>
      <c r="Y65" t="str">
        <f ca="1">_xll.PALO.DATA("jedoxtest/EU_PM_CUBE02","#_Call","Bezeichnung",X65)</f>
        <v/>
      </c>
    </row>
    <row r="66" spans="1:25" s="584" customFormat="1" hidden="1">
      <c r="A66" s="662" t="b">
        <f ca="1">_xll.PALO.HIDEROW(ISBLANK($A$1))</f>
        <v>1</v>
      </c>
      <c r="D66" s="594" t="str">
        <f t="shared" ca="1" si="13"/>
        <v>EIC-2025-DENMPRES-IBA</v>
      </c>
      <c r="E66" s="586">
        <f ca="1">_xll.PALO.DATAC("jedoxtest/EU_PM_CUBE02","EUPM_Mittel2_Cube",AT_ExSc_Datenstand,"Alle Beteiligungen","Alle Koordinatoren","Alle Unternehmensgrößen","-2","Alle Organisationstypen",28,"Alle Expertevaluierungsstatus","-2","-2",1,"-2","Alle",$S66,E$7)</f>
        <v>0</v>
      </c>
      <c r="F66" s="586">
        <f ca="1">_xll.PALO.DATAC("jedoxtest/EU_PM_CUBE02","EUPM_Mittel2_Cube",AT_ExSc_Datenstand,"Alle Beteiligungen","Alle Koordinatoren","Alle Unternehmensgrößen","-2","Alle Organisationstypen",28,"Alle Expertevaluierungsstatus","-2","-2",1,"-2","Alle",$S66,F$7)</f>
        <v>0</v>
      </c>
      <c r="G66" s="586">
        <f ca="1">_xll.PALO.DATAC("jedoxtest/EU_PM_CUBE02","EUPM_Mittel2_Cube",AT_ExSc_Datenstand,"Alle Beteiligungen","Alle Koordinatoren","Alle Unternehmensgrößen","-2","Alle Organisationstypen",28,"Alle Expertevaluierungsstatus","-2","-2",1,"-2","Alle",$S66,G$7)</f>
        <v>0</v>
      </c>
      <c r="S66" s="680">
        <v>5233</v>
      </c>
      <c r="T66" s="585" t="str">
        <f ca="1">_xll.PALO.DATA("jedoxtest/EU_PM_CUBE02","#_Call","Bezeichnung",$S66)</f>
        <v>HORIZON-EIC-2025-DENMPRES-IBA</v>
      </c>
      <c r="U66" s="584">
        <f t="shared" ca="1" si="16"/>
        <v>29</v>
      </c>
      <c r="V66"/>
      <c r="X66"/>
      <c r="Y66" t="str">
        <f ca="1">_xll.PALO.DATA("jedoxtest/EU_PM_CUBE02","#_Call","Bezeichnung",X66)</f>
        <v/>
      </c>
    </row>
    <row r="67" spans="1:25" s="584" customFormat="1" hidden="1">
      <c r="A67" s="662" t="b">
        <f ca="1">_xll.PALO.HIDEROW(ISBLANK($A$1))</f>
        <v>1</v>
      </c>
      <c r="D67" s="594" t="str">
        <f t="shared" ca="1" si="13"/>
        <v>EIC-2025-POLPRES-IBA</v>
      </c>
      <c r="E67" s="586">
        <f ca="1">_xll.PALO.DATAC("jedoxtest/EU_PM_CUBE02","EUPM_Mittel2_Cube",AT_ExSc_Datenstand,"Alle Beteiligungen","Alle Koordinatoren","Alle Unternehmensgrößen","-2","Alle Organisationstypen",28,"Alle Expertevaluierungsstatus","-2","-2",1,"-2","Alle",$S67,E$7)</f>
        <v>0</v>
      </c>
      <c r="F67" s="586">
        <f ca="1">_xll.PALO.DATAC("jedoxtest/EU_PM_CUBE02","EUPM_Mittel2_Cube",AT_ExSc_Datenstand,"Alle Beteiligungen","Alle Koordinatoren","Alle Unternehmensgrößen","-2","Alle Organisationstypen",28,"Alle Expertevaluierungsstatus","-2","-2",1,"-2","Alle",$S67,F$7)</f>
        <v>0</v>
      </c>
      <c r="G67" s="586">
        <f ca="1">_xll.PALO.DATAC("jedoxtest/EU_PM_CUBE02","EUPM_Mittel2_Cube",AT_ExSc_Datenstand,"Alle Beteiligungen","Alle Koordinatoren","Alle Unternehmensgrößen","-2","Alle Organisationstypen",28,"Alle Expertevaluierungsstatus","-2","-2",1,"-2","Alle",$S67,G$7)</f>
        <v>0</v>
      </c>
      <c r="S67" s="667">
        <v>5234</v>
      </c>
      <c r="T67" s="585" t="str">
        <f ca="1">_xll.PALO.DATA("jedoxtest/EU_PM_CUBE02","#_Call","Bezeichnung",$S67)</f>
        <v>HORIZON-EIC-2025-POLPRES-IBA</v>
      </c>
      <c r="U67" s="584">
        <f t="shared" ca="1" si="16"/>
        <v>28</v>
      </c>
      <c r="V67"/>
      <c r="X67"/>
      <c r="Y67" t="str">
        <f ca="1">_xll.PALO.DATA("jedoxtest/EU_PM_CUBE02","#_Call","Bezeichnung",X67)</f>
        <v/>
      </c>
    </row>
    <row r="68" spans="1:25" s="584" customFormat="1" hidden="1">
      <c r="A68" s="662" t="b">
        <f ca="1">_xll.PALO.HIDEROW(ISBLANK($A$1))</f>
        <v>1</v>
      </c>
      <c r="D68" s="594" t="str">
        <f t="shared" ca="1" si="13"/>
        <v>EIC-2025-PRIZE-2</v>
      </c>
      <c r="E68" s="586">
        <f ca="1">_xll.PALO.DATAC("jedoxtest/EU_PM_CUBE02","EUPM_Mittel2_Cube",AT_ExSc_Datenstand,"Alle Beteiligungen","Alle Koordinatoren","Alle Unternehmensgrößen","-2","Alle Organisationstypen",28,"Alle Expertevaluierungsstatus","-2","-2",1,"-2","Alle",$S68,E$7)</f>
        <v>0</v>
      </c>
      <c r="F68" s="586">
        <f ca="1">_xll.PALO.DATAC("jedoxtest/EU_PM_CUBE02","EUPM_Mittel2_Cube",AT_ExSc_Datenstand,"Alle Beteiligungen","Alle Koordinatoren","Alle Unternehmensgrößen","-2","Alle Organisationstypen",28,"Alle Expertevaluierungsstatus","-2","-2",1,"-2","Alle",$S68,F$7)</f>
        <v>0</v>
      </c>
      <c r="G68" s="586">
        <f ca="1">_xll.PALO.DATAC("jedoxtest/EU_PM_CUBE02","EUPM_Mittel2_Cube",AT_ExSc_Datenstand,"Alle Beteiligungen","Alle Koordinatoren","Alle Unternehmensgrößen","-2","Alle Organisationstypen",28,"Alle Expertevaluierungsstatus","-2","-2",1,"-2","Alle",$S68,G$7)</f>
        <v>0</v>
      </c>
      <c r="S68" s="667">
        <v>5281</v>
      </c>
      <c r="T68" s="585" t="str">
        <f ca="1">_xll.PALO.DATA("jedoxtest/EU_PM_CUBE02","#_Call","Bezeichnung",$S68)</f>
        <v>HORIZON-EIC-2025-PRIZE-2</v>
      </c>
      <c r="U68" s="584">
        <f t="shared" ca="1" si="16"/>
        <v>24</v>
      </c>
      <c r="V68"/>
      <c r="X68" s="667"/>
      <c r="Y68"/>
    </row>
    <row r="69" spans="1:25" s="584" customFormat="1" hidden="1">
      <c r="A69" s="662" t="b">
        <f ca="1">_xll.PALO.HIDEROW(ISBLANK($A$1))</f>
        <v>1</v>
      </c>
      <c r="D69" s="594" t="e">
        <f t="shared" si="13"/>
        <v>#VALUE!</v>
      </c>
      <c r="E69" s="586">
        <f ca="1">_xll.PALO.DATAC("jedoxtest/EU_PM_CUBE02","EUPM_Mittel2_Cube",AT_ExSc_Datenstand,"Alle Beteiligungen","Alle Koordinatoren","Alle Unternehmensgrößen","-2","Alle Organisationstypen",28,"Alle Expertevaluierungsstatus","-2","-2",1,"-2","Alle",$S69,E$7)</f>
        <v>0</v>
      </c>
      <c r="F69" s="586">
        <f ca="1">_xll.PALO.DATAC("jedoxtest/EU_PM_CUBE02","EUPM_Mittel2_Cube",AT_ExSc_Datenstand,"Alle Beteiligungen","Alle Koordinatoren","Alle Unternehmensgrößen","-2","Alle Organisationstypen",28,"Alle Expertevaluierungsstatus","-2","-2",1,"-2","Alle",$S69,F$7)</f>
        <v>0</v>
      </c>
      <c r="G69" s="586">
        <f ca="1">_xll.PALO.DATAC("jedoxtest/EU_PM_CUBE02","EUPM_Mittel2_Cube",AT_ExSc_Datenstand,"Alle Beteiligungen","Alle Koordinatoren","Alle Unternehmensgrößen","-2","Alle Organisationstypen",28,"Alle Expertevaluierungsstatus","-2","-2",1,"-2","Alle",$S69,G$7)</f>
        <v>0</v>
      </c>
      <c r="S69" s="584">
        <v>5345</v>
      </c>
      <c r="T69" s="585"/>
      <c r="X69" s="667"/>
      <c r="Y69"/>
    </row>
    <row r="70" spans="1:25" s="584" customFormat="1" hidden="1">
      <c r="A70" s="662" t="b">
        <f ca="1">_xll.PALO.HIDEROW(ISBLANK($A$1))</f>
        <v>1</v>
      </c>
      <c r="D70" s="594" t="e">
        <f t="shared" si="13"/>
        <v>#VALUE!</v>
      </c>
      <c r="E70" s="586">
        <f ca="1">_xll.PALO.DATAC("jedoxtest/EU_PM_CUBE02","EUPM_Mittel2_Cube",AT_ExSc_Datenstand,"Alle Beteiligungen","Alle Koordinatoren","Alle Unternehmensgrößen","-2","Alle Organisationstypen",28,"Alle Expertevaluierungsstatus","-2","-2",1,"-2","Alle",$S70,E$7)</f>
        <v>0</v>
      </c>
      <c r="F70" s="586">
        <f ca="1">_xll.PALO.DATAC("jedoxtest/EU_PM_CUBE02","EUPM_Mittel2_Cube",AT_ExSc_Datenstand,"Alle Beteiligungen","Alle Koordinatoren","Alle Unternehmensgrößen","-2","Alle Organisationstypen",28,"Alle Expertevaluierungsstatus","-2","-2",1,"-2","Alle",$S70,F$7)</f>
        <v>0</v>
      </c>
      <c r="G70" s="586">
        <f ca="1">_xll.PALO.DATAC("jedoxtest/EU_PM_CUBE02","EUPM_Mittel2_Cube",AT_ExSc_Datenstand,"Alle Beteiligungen","Alle Koordinatoren","Alle Unternehmensgrößen","-2","Alle Organisationstypen",28,"Alle Expertevaluierungsstatus","-2","-2",1,"-2","Alle",$S70,G$7)</f>
        <v>0</v>
      </c>
      <c r="S70">
        <v>5349</v>
      </c>
      <c r="T70" s="585"/>
      <c r="X70" s="667"/>
      <c r="Y70"/>
    </row>
    <row r="71" spans="1:25" s="584" customFormat="1" hidden="1">
      <c r="A71" s="662" t="b">
        <f ca="1">_xll.PALO.HIDEROW(ISBLANK($A$1))</f>
        <v>1</v>
      </c>
      <c r="D71" s="594" t="e">
        <f t="shared" si="13"/>
        <v>#VALUE!</v>
      </c>
      <c r="E71" s="586" t="str">
        <f ca="1">_xll.PALO.DATAC("jedoxtest/EU_PM_CUBE02","EUPM_Mittel2_Cube",AT_ExSc_Datenstand,"Alle Beteiligungen","Alle Koordinatoren","Alle Unternehmensgrößen","-2","Alle Organisationstypen",28,"Alle Expertevaluierungsstatus","-2","-2",1,"-2","Alle",$S71,E$7)</f>
        <v/>
      </c>
      <c r="F71" s="586" t="str">
        <f ca="1">_xll.PALO.DATAC("jedoxtest/EU_PM_CUBE02","EUPM_Mittel2_Cube",AT_ExSc_Datenstand,"Alle Beteiligungen","Alle Koordinatoren","Alle Unternehmensgrößen","-2","Alle Organisationstypen",28,"Alle Expertevaluierungsstatus","-2","-2",1,"-2","Alle",$S71,F$7)</f>
        <v/>
      </c>
      <c r="G71" s="586" t="str">
        <f ca="1">_xll.PALO.DATAC("jedoxtest/EU_PM_CUBE02","EUPM_Mittel2_Cube",AT_ExSc_Datenstand,"Alle Beteiligungen","Alle Koordinatoren","Alle Unternehmensgrößen","-2","Alle Organisationstypen",28,"Alle Expertevaluierungsstatus","-2","-2",1,"-2","Alle",$S71,G$7)</f>
        <v/>
      </c>
      <c r="T71" s="585"/>
      <c r="X71" s="667"/>
      <c r="Y71"/>
    </row>
    <row r="72" spans="1:25" s="584" customFormat="1" hidden="1">
      <c r="A72" s="614" t="b">
        <f ca="1">_xll.PALO.HIDEROW(ISBLANK($A$1))</f>
        <v>1</v>
      </c>
      <c r="D72" s="594" t="e">
        <f t="shared" si="13"/>
        <v>#VALUE!</v>
      </c>
      <c r="E72" s="586" t="str">
        <f ca="1">_xll.PALO.DATAC("jedoxtest/EU_PM_CUBE02","EUPM_Mittel2_Cube",AT_ExSc_Datenstand,"Alle Beteiligungen","Alle Koordinatoren","Alle Unternehmensgrößen","-2","Alle Organisationstypen",28,"Alle Expertevaluierungsstatus","-2","-2",1,"-2","Alle",$S72,E$7)</f>
        <v/>
      </c>
      <c r="F72" s="586" t="str">
        <f ca="1">_xll.PALO.DATAC("jedoxtest/EU_PM_CUBE02","EUPM_Mittel2_Cube",AT_ExSc_Datenstand,"Alle Beteiligungen","Alle Koordinatoren","Alle Unternehmensgrößen","-2","Alle Organisationstypen",28,"Alle Expertevaluierungsstatus","-2","-2",1,"-2","Alle",$S72,F$7)</f>
        <v/>
      </c>
      <c r="G72" s="586" t="str">
        <f ca="1">_xll.PALO.DATAC("jedoxtest/EU_PM_CUBE02","EUPM_Mittel2_Cube",AT_ExSc_Datenstand,"Alle Beteiligungen","Alle Koordinatoren","Alle Unternehmensgrößen","-2","Alle Organisationstypen",28,"Alle Expertevaluierungsstatus","-2","-2",1,"-2","Alle",$S72,G$7)</f>
        <v/>
      </c>
      <c r="T72" s="585"/>
      <c r="Y72"/>
    </row>
    <row r="73" spans="1:25" s="584" customFormat="1" hidden="1">
      <c r="A73" s="614" t="b">
        <f ca="1">_xll.PALO.HIDEROW(ISBLANK($A$1))</f>
        <v>1</v>
      </c>
      <c r="D73" s="594" t="e">
        <f t="shared" si="13"/>
        <v>#VALUE!</v>
      </c>
      <c r="E73" s="586" t="str">
        <f ca="1">_xll.PALO.DATAC("jedoxtest/EU_PM_CUBE02","EUPM_Mittel2_Cube",AT_ExSc_Datenstand,"Alle Beteiligungen","Alle Koordinatoren","Alle Unternehmensgrößen","-2","Alle Organisationstypen",28,"Alle Expertevaluierungsstatus","-2","-2",1,"-2","Alle",$S73,E$7)</f>
        <v/>
      </c>
      <c r="F73" s="586" t="str">
        <f ca="1">_xll.PALO.DATAC("jedoxtest/EU_PM_CUBE02","EUPM_Mittel2_Cube",AT_ExSc_Datenstand,"Alle Beteiligungen","Alle Koordinatoren","Alle Unternehmensgrößen","-2","Alle Organisationstypen",28,"Alle Expertevaluierungsstatus","-2","-2",1,"-2","Alle",$S73,F$7)</f>
        <v/>
      </c>
      <c r="G73" s="586" t="str">
        <f ca="1">_xll.PALO.DATAC("jedoxtest/EU_PM_CUBE02","EUPM_Mittel2_Cube",AT_ExSc_Datenstand,"Alle Beteiligungen","Alle Koordinatoren","Alle Unternehmensgrößen","-2","Alle Organisationstypen",28,"Alle Expertevaluierungsstatus","-2","-2",1,"-2","Alle",$S73,G$7)</f>
        <v/>
      </c>
      <c r="T73" s="585"/>
      <c r="Y73"/>
    </row>
    <row r="74" spans="1:25" s="584" customFormat="1" hidden="1">
      <c r="A74" s="614" t="b">
        <f ca="1">_xll.PALO.HIDEROW(ISBLANK($A$1))</f>
        <v>1</v>
      </c>
      <c r="D74" s="594" t="e">
        <f t="shared" si="13"/>
        <v>#VALUE!</v>
      </c>
      <c r="E74" s="586" t="str">
        <f ca="1">_xll.PALO.DATAC("jedoxtest/EU_PM_CUBE02","EUPM_Mittel2_Cube",AT_ExSc_Datenstand,"Alle Beteiligungen","Alle Koordinatoren","Alle Unternehmensgrößen","-2","Alle Organisationstypen",28,"Alle Expertevaluierungsstatus","-2","-2",1,"-2","Alle",$S74,E$7)</f>
        <v/>
      </c>
      <c r="F74" s="586" t="str">
        <f ca="1">_xll.PALO.DATAC("jedoxtest/EU_PM_CUBE02","EUPM_Mittel2_Cube",AT_ExSc_Datenstand,"Alle Beteiligungen","Alle Koordinatoren","Alle Unternehmensgrößen","-2","Alle Organisationstypen",28,"Alle Expertevaluierungsstatus","-2","-2",1,"-2","Alle",$S74,F$7)</f>
        <v/>
      </c>
      <c r="G74" s="586" t="str">
        <f ca="1">_xll.PALO.DATAC("jedoxtest/EU_PM_CUBE02","EUPM_Mittel2_Cube",AT_ExSc_Datenstand,"Alle Beteiligungen","Alle Koordinatoren","Alle Unternehmensgrößen","-2","Alle Organisationstypen",28,"Alle Expertevaluierungsstatus","-2","-2",1,"-2","Alle",$S74,G$7)</f>
        <v/>
      </c>
      <c r="T74" s="585"/>
      <c r="Y74"/>
    </row>
    <row r="75" spans="1:25" hidden="1">
      <c r="A75" s="614" t="b">
        <f ca="1">_xll.PALO.HIDEROW(ISBLANK($A$1))</f>
        <v>1</v>
      </c>
      <c r="C75" s="526"/>
      <c r="D75" s="526"/>
      <c r="E75" s="526"/>
      <c r="F75" s="526"/>
      <c r="G75" s="526"/>
    </row>
    <row r="76" spans="1:25" s="584" customFormat="1" hidden="1">
      <c r="A76" s="614" t="b">
        <f ca="1">_xll.PALO.HIDEROW(ISBLANK($A$1))</f>
        <v>1</v>
      </c>
      <c r="C76" s="526"/>
      <c r="D76" s="517"/>
      <c r="E76" s="589" t="s">
        <v>1</v>
      </c>
      <c r="F76" s="589" t="s">
        <v>109</v>
      </c>
      <c r="G76" s="589" t="s">
        <v>3</v>
      </c>
      <c r="I76" s="601">
        <f ca="1">E79+E92+E99</f>
        <v>19</v>
      </c>
      <c r="Q76" s="584" t="b">
        <f ca="1">I76=E77</f>
        <v>1</v>
      </c>
      <c r="T76" s="585"/>
      <c r="Y76"/>
    </row>
    <row r="77" spans="1:25" s="584" customFormat="1" hidden="1">
      <c r="A77" s="614" t="b">
        <f ca="1">_xll.PALO.HIDEROW(ISBLANK($A$1))</f>
        <v>1</v>
      </c>
      <c r="C77" s="584">
        <v>6165</v>
      </c>
      <c r="D77" s="595" t="str">
        <f ca="1">_xll.PALO.DATA("jedoxtest/EU_PM_CUBE02","#_Programme","Langbezeichnung",$C77)</f>
        <v>European innovation ecosystems</v>
      </c>
      <c r="E77" s="596">
        <f ca="1">_xll.PALO.DATAC("jedoxtest/EU_PM_CUBE02","EUPM_Mittel2_Cube",AT_ExSc_Datenstand,"Alle Beteiligungen","Alle Koordinatoren","Alle Unternehmensgrößen","-2","Alle Organisationstypen",28,"Alle Expertevaluierungsstatus",$C77,"-2",1,"-2","Alle","-2",E$7)</f>
        <v>19</v>
      </c>
      <c r="F77" s="596">
        <f ca="1">_xll.PALO.DATAC("jedoxtest/EU_PM_CUBE02","EUPM_Mittel2_Cube",AT_ExSc_Datenstand,"Alle Beteiligungen","Alle Koordinatoren","Alle Unternehmensgrößen","-2","Alle Organisationstypen",28,"Alle Expertevaluierungsstatus",$C77,"-2",1,"-2","Alle","-2",F$7)</f>
        <v>16633048.380000001</v>
      </c>
      <c r="G77" s="596">
        <f ca="1">_xll.PALO.DATAC("jedoxtest/EU_PM_CUBE02","EUPM_Mittel2_Cube",AT_ExSc_Datenstand,"Alle Beteiligungen","Alle Koordinatoren","Alle Unternehmensgrößen","-2","Alle Organisationstypen",28,"Alle Expertevaluierungsstatus",$C77,"-2",1,"-2","Alle","-2",G$7)</f>
        <v>6</v>
      </c>
      <c r="T77" s="585"/>
      <c r="Y77"/>
    </row>
    <row r="78" spans="1:25" s="584" customFormat="1" ht="5.0999999999999996" hidden="1" customHeight="1">
      <c r="A78" s="614" t="b">
        <f ca="1">_xll.PALO.HIDEROW(ISBLANK($A$1))</f>
        <v>1</v>
      </c>
      <c r="T78" s="585" t="s">
        <v>174</v>
      </c>
      <c r="Y78"/>
    </row>
    <row r="79" spans="1:25" s="584" customFormat="1" hidden="1">
      <c r="A79" s="614" t="b">
        <f ca="1">_xll.PALO.HIDEROW(ISBLANK($A$1))</f>
        <v>1</v>
      </c>
      <c r="D79" s="263" t="s">
        <v>299</v>
      </c>
      <c r="E79" s="599">
        <f ca="1">SUM(E80:E90)</f>
        <v>10</v>
      </c>
      <c r="F79" s="599">
        <f ca="1">SUM(F80:F90)</f>
        <v>1417695.88</v>
      </c>
      <c r="G79" s="599">
        <f ca="1">SUM(G80:G90)</f>
        <v>3</v>
      </c>
      <c r="T79" s="585"/>
      <c r="Y79"/>
    </row>
    <row r="80" spans="1:25" s="584" customFormat="1" hidden="1">
      <c r="A80" s="614" t="b">
        <f ca="1">_xll.PALO.HIDEROW(ISBLANK($A$1))</f>
        <v>1</v>
      </c>
      <c r="D80" s="592" t="str">
        <f t="shared" ref="D80:D90" ca="1" si="17">MID($T80,9,$U80-8)</f>
        <v>EIE-2021-CONNECT-01</v>
      </c>
      <c r="E80" s="588">
        <f ca="1">_xll.PALO.DATAC("jedoxtest/EU_PM_CUBE02","EUPM_Mittel2_Cube",AT_ExSc_Datenstand,"Alle Beteiligungen","Alle Koordinatoren","Alle Unternehmensgrößen","-2","Alle Organisationstypen",28,"Alle Expertevaluierungsstatus","-2","-2",1,"-2","Alle",$S80,E$7)</f>
        <v>0</v>
      </c>
      <c r="F80" s="588">
        <f ca="1">_xll.PALO.DATAC("jedoxtest/EU_PM_CUBE02","EUPM_Mittel2_Cube",AT_ExSc_Datenstand,"Alle Beteiligungen","Alle Koordinatoren","Alle Unternehmensgrößen","-2","Alle Organisationstypen",28,"Alle Expertevaluierungsstatus","-2","-2",1,"-2","Alle",$S80,F$7)</f>
        <v>0</v>
      </c>
      <c r="G80" s="588">
        <f ca="1">_xll.PALO.DATAC("jedoxtest/EU_PM_CUBE02","EUPM_Mittel2_Cube",AT_ExSc_Datenstand,"Alle Beteiligungen","Alle Koordinatoren","Alle Unternehmensgrößen","-2","Alle Organisationstypen",28,"Alle Expertevaluierungsstatus","-2","-2",1,"-2","Alle",$S80,G$7)</f>
        <v>0</v>
      </c>
      <c r="S80">
        <v>2642</v>
      </c>
      <c r="T80" s="585" t="str">
        <f ca="1">_xll.PALO.DATA("jedoxtest/EU_PM_CUBE02","#_Call","Bezeichnung",$S80)</f>
        <v>HORIZON-EIE-2021-CONNECT-01</v>
      </c>
      <c r="U80" s="584">
        <f t="shared" ref="U80:U101" ca="1" si="18">LEN(T80)</f>
        <v>27</v>
      </c>
      <c r="X80" s="667"/>
    </row>
    <row r="81" spans="1:25" s="584" customFormat="1" hidden="1">
      <c r="A81" s="614" t="b">
        <f ca="1">_xll.PALO.HIDEROW(ISBLANK($A$1))</f>
        <v>1</v>
      </c>
      <c r="D81" s="594" t="str">
        <f t="shared" ca="1" si="17"/>
        <v>EIE-2022-CONNECT-01</v>
      </c>
      <c r="E81" s="586">
        <f ca="1">_xll.PALO.DATAC("jedoxtest/EU_PM_CUBE02","EUPM_Mittel2_Cube",AT_ExSc_Datenstand,"Alle Beteiligungen","Alle Koordinatoren","Alle Unternehmensgrößen","-2","Alle Organisationstypen",28,"Alle Expertevaluierungsstatus","-2","-2",1,"-2","Alle",$S81,E$7)</f>
        <v>2</v>
      </c>
      <c r="F81" s="586">
        <f ca="1">_xll.PALO.DATAC("jedoxtest/EU_PM_CUBE02","EUPM_Mittel2_Cube",AT_ExSc_Datenstand,"Alle Beteiligungen","Alle Koordinatoren","Alle Unternehmensgrößen","-2","Alle Organisationstypen",28,"Alle Expertevaluierungsstatus","-2","-2",1,"-2","Alle",$S81,F$7)</f>
        <v>280364</v>
      </c>
      <c r="G81" s="586">
        <f ca="1">_xll.PALO.DATAC("jedoxtest/EU_PM_CUBE02","EUPM_Mittel2_Cube",AT_ExSc_Datenstand,"Alle Beteiligungen","Alle Koordinatoren","Alle Unternehmensgrößen","-2","Alle Organisationstypen",28,"Alle Expertevaluierungsstatus","-2","-2",1,"-2","Alle",$S81,G$7)</f>
        <v>1</v>
      </c>
      <c r="S81">
        <v>2756</v>
      </c>
      <c r="T81" s="585" t="str">
        <f ca="1">_xll.PALO.DATA("jedoxtest/EU_PM_CUBE02","#_Call","Bezeichnung",$S81)</f>
        <v>HORIZON-EIE-2022-CONNECT-01</v>
      </c>
      <c r="U81" s="584">
        <f t="shared" ca="1" si="18"/>
        <v>27</v>
      </c>
      <c r="X81" s="667"/>
    </row>
    <row r="82" spans="1:25" s="584" customFormat="1" hidden="1">
      <c r="A82" s="614" t="b">
        <f ca="1">_xll.PALO.HIDEROW(ISBLANK($A$1))</f>
        <v>1</v>
      </c>
      <c r="D82" s="593" t="str">
        <f t="shared" ca="1" si="17"/>
        <v>EIE-2022-CONNECT-02</v>
      </c>
      <c r="E82" s="587">
        <f ca="1">_xll.PALO.DATAC("jedoxtest/EU_PM_CUBE02","EUPM_Mittel2_Cube",AT_ExSc_Datenstand,"Alle Beteiligungen","Alle Koordinatoren","Alle Unternehmensgrößen","-2","Alle Organisationstypen",28,"Alle Expertevaluierungsstatus","-2","-2",1,"-2","Alle",$S82,E$7)</f>
        <v>0</v>
      </c>
      <c r="F82" s="587">
        <f ca="1">_xll.PALO.DATAC("jedoxtest/EU_PM_CUBE02","EUPM_Mittel2_Cube",AT_ExSc_Datenstand,"Alle Beteiligungen","Alle Koordinatoren","Alle Unternehmensgrößen","-2","Alle Organisationstypen",28,"Alle Expertevaluierungsstatus","-2","-2",1,"-2","Alle",$S82,F$7)</f>
        <v>0</v>
      </c>
      <c r="G82" s="587">
        <f ca="1">_xll.PALO.DATAC("jedoxtest/EU_PM_CUBE02","EUPM_Mittel2_Cube",AT_ExSc_Datenstand,"Alle Beteiligungen","Alle Koordinatoren","Alle Unternehmensgrößen","-2","Alle Organisationstypen",28,"Alle Expertevaluierungsstatus","-2","-2",1,"-2","Alle",$S82,G$7)</f>
        <v>0</v>
      </c>
      <c r="S82">
        <v>2857</v>
      </c>
      <c r="T82" s="585" t="str">
        <f ca="1">_xll.PALO.DATA("jedoxtest/EU_PM_CUBE02","#_Call","Bezeichnung",$S82)</f>
        <v>HORIZON-EIE-2022-CONNECT-02</v>
      </c>
      <c r="U82" s="584">
        <f t="shared" ca="1" si="18"/>
        <v>27</v>
      </c>
      <c r="X82" s="667"/>
    </row>
    <row r="83" spans="1:25" s="584" customFormat="1" hidden="1">
      <c r="A83" s="614" t="b">
        <f ca="1">_xll.PALO.HIDEROW(ISBLANK($A$1))</f>
        <v>1</v>
      </c>
      <c r="D83" s="600" t="str">
        <f t="shared" ca="1" si="17"/>
        <v>EIE-2023-CONNECT-01</v>
      </c>
      <c r="E83" s="145">
        <f ca="1">_xll.PALO.DATAC("jedoxtest/EU_PM_CUBE02","EUPM_Mittel2_Cube",AT_ExSc_Datenstand,"Alle Beteiligungen","Alle Koordinatoren","Alle Unternehmensgrößen","-2","Alle Organisationstypen",28,"Alle Expertevaluierungsstatus","-2","-2",1,"-2","Alle",$S83,E$7)</f>
        <v>4</v>
      </c>
      <c r="F83" s="145">
        <f ca="1">_xll.PALO.DATAC("jedoxtest/EU_PM_CUBE02","EUPM_Mittel2_Cube",AT_ExSc_Datenstand,"Alle Beteiligungen","Alle Koordinatoren","Alle Unternehmensgrößen","-2","Alle Organisationstypen",28,"Alle Expertevaluierungsstatus","-2","-2",1,"-2","Alle",$S83,F$7)</f>
        <v>336195.63</v>
      </c>
      <c r="G83" s="145">
        <f ca="1">_xll.PALO.DATAC("jedoxtest/EU_PM_CUBE02","EUPM_Mittel2_Cube",AT_ExSc_Datenstand,"Alle Beteiligungen","Alle Koordinatoren","Alle Unternehmensgrößen","-2","Alle Organisationstypen",28,"Alle Expertevaluierungsstatus","-2","-2",1,"-2","Alle",$S83,G$7)</f>
        <v>1</v>
      </c>
      <c r="S83">
        <v>2929</v>
      </c>
      <c r="T83" s="585" t="str">
        <f ca="1">_xll.PALO.DATA("jedoxtest/EU_PM_CUBE02","#_Call","Bezeichnung",$S83)</f>
        <v>HORIZON-EIE-2023-CONNECT-01</v>
      </c>
      <c r="U83" s="584">
        <f t="shared" ca="1" si="18"/>
        <v>27</v>
      </c>
      <c r="X83" s="667"/>
    </row>
    <row r="84" spans="1:25" s="584" customFormat="1" hidden="1">
      <c r="A84" s="684" t="b">
        <f ca="1">_xll.PALO.HIDEROW(ISBLANK($A$1))</f>
        <v>1</v>
      </c>
      <c r="D84" s="600" t="str">
        <f t="shared" ca="1" si="17"/>
        <v>EIE-2023-CONNECT-02</v>
      </c>
      <c r="E84" s="145">
        <f ca="1">_xll.PALO.DATAC("jedoxtest/EU_PM_CUBE02","EUPM_Mittel2_Cube",AT_ExSc_Datenstand,"Alle Beteiligungen","Alle Koordinatoren","Alle Unternehmensgrößen","-2","Alle Organisationstypen",28,"Alle Expertevaluierungsstatus","-2","-2",1,"-2","Alle",$S84,E$7)</f>
        <v>0</v>
      </c>
      <c r="F84" s="145">
        <f ca="1">_xll.PALO.DATAC("jedoxtest/EU_PM_CUBE02","EUPM_Mittel2_Cube",AT_ExSc_Datenstand,"Alle Beteiligungen","Alle Koordinatoren","Alle Unternehmensgrößen","-2","Alle Organisationstypen",28,"Alle Expertevaluierungsstatus","-2","-2",1,"-2","Alle",$S84,F$7)</f>
        <v>0</v>
      </c>
      <c r="G84" s="145">
        <f ca="1">_xll.PALO.DATAC("jedoxtest/EU_PM_CUBE02","EUPM_Mittel2_Cube",AT_ExSc_Datenstand,"Alle Beteiligungen","Alle Koordinatoren","Alle Unternehmensgrößen","-2","Alle Organisationstypen",28,"Alle Expertevaluierungsstatus","-2","-2",1,"-2","Alle",$S84,G$7)</f>
        <v>0</v>
      </c>
      <c r="S84">
        <v>3024</v>
      </c>
      <c r="T84" s="585" t="str">
        <f ca="1">_xll.PALO.DATA("jedoxtest/EU_PM_CUBE02","#_Call","Bezeichnung",$S84)</f>
        <v>HORIZON-EIE-2023-CONNECT-02</v>
      </c>
      <c r="U84" s="584">
        <f t="shared" ref="U84:U86" ca="1" si="19">LEN(T84)</f>
        <v>27</v>
      </c>
      <c r="X84" s="667"/>
    </row>
    <row r="85" spans="1:25" s="584" customFormat="1" hidden="1">
      <c r="A85" s="684" t="b">
        <f ca="1">_xll.PALO.HIDEROW(ISBLANK($A$1))</f>
        <v>1</v>
      </c>
      <c r="D85" s="600" t="str">
        <f t="shared" ca="1" si="17"/>
        <v>EIE-2023-CONNECT-03</v>
      </c>
      <c r="E85" s="145">
        <f ca="1">_xll.PALO.DATAC("jedoxtest/EU_PM_CUBE02","EUPM_Mittel2_Cube",AT_ExSc_Datenstand,"Alle Beteiligungen","Alle Koordinatoren","Alle Unternehmensgrößen","-2","Alle Organisationstypen",28,"Alle Expertevaluierungsstatus","-2","-2",1,"-2","Alle",$S85,E$7)</f>
        <v>1</v>
      </c>
      <c r="F85" s="145">
        <f ca="1">_xll.PALO.DATAC("jedoxtest/EU_PM_CUBE02","EUPM_Mittel2_Cube",AT_ExSc_Datenstand,"Alle Beteiligungen","Alle Koordinatoren","Alle Unternehmensgrößen","-2","Alle Organisationstypen",28,"Alle Expertevaluierungsstatus","-2","-2",1,"-2","Alle",$S85,F$7)</f>
        <v>381418.75</v>
      </c>
      <c r="G85" s="145">
        <f ca="1">_xll.PALO.DATAC("jedoxtest/EU_PM_CUBE02","EUPM_Mittel2_Cube",AT_ExSc_Datenstand,"Alle Beteiligungen","Alle Koordinatoren","Alle Unternehmensgrößen","-2","Alle Organisationstypen",28,"Alle Expertevaluierungsstatus","-2","-2",1,"-2","Alle",$S85,G$7)</f>
        <v>0</v>
      </c>
      <c r="S85">
        <v>3025</v>
      </c>
      <c r="T85" s="585" t="str">
        <f ca="1">_xll.PALO.DATA("jedoxtest/EU_PM_CUBE02","#_Call","Bezeichnung",$S85)</f>
        <v>HORIZON-EIE-2023-CONNECT-03</v>
      </c>
      <c r="U85" s="584">
        <f t="shared" ca="1" si="19"/>
        <v>27</v>
      </c>
      <c r="X85" s="667"/>
    </row>
    <row r="86" spans="1:25" s="584" customFormat="1" hidden="1">
      <c r="A86" s="684" t="b">
        <f ca="1">_xll.PALO.HIDEROW(ISBLANK($A$1))</f>
        <v>1</v>
      </c>
      <c r="D86" s="600" t="str">
        <f t="shared" ca="1" si="17"/>
        <v>EIE-2024-CONNECT-01</v>
      </c>
      <c r="E86" s="145">
        <f ca="1">_xll.PALO.DATAC("jedoxtest/EU_PM_CUBE02","EUPM_Mittel2_Cube",AT_ExSc_Datenstand,"Alle Beteiligungen","Alle Koordinatoren","Alle Unternehmensgrößen","-2","Alle Organisationstypen",28,"Alle Expertevaluierungsstatus","-2","-2",1,"-2","Alle",$S86,E$7)</f>
        <v>1</v>
      </c>
      <c r="F86" s="145">
        <f ca="1">_xll.PALO.DATAC("jedoxtest/EU_PM_CUBE02","EUPM_Mittel2_Cube",AT_ExSc_Datenstand,"Alle Beteiligungen","Alle Koordinatoren","Alle Unternehmensgrößen","-2","Alle Organisationstypen",28,"Alle Expertevaluierungsstatus","-2","-2",1,"-2","Alle",$S86,F$7)</f>
        <v>197923.75</v>
      </c>
      <c r="G86" s="145">
        <f ca="1">_xll.PALO.DATAC("jedoxtest/EU_PM_CUBE02","EUPM_Mittel2_Cube",AT_ExSc_Datenstand,"Alle Beteiligungen","Alle Koordinatoren","Alle Unternehmensgrößen","-2","Alle Organisationstypen",28,"Alle Expertevaluierungsstatus","-2","-2",1,"-2","Alle",$S86,G$7)</f>
        <v>0</v>
      </c>
      <c r="S86">
        <v>3105</v>
      </c>
      <c r="T86" s="585" t="str">
        <f ca="1">_xll.PALO.DATA("jedoxtest/EU_PM_CUBE02","#_Call","Bezeichnung",$S86)</f>
        <v>HORIZON-EIE-2024-CONNECT-01</v>
      </c>
      <c r="U86" s="584">
        <f t="shared" ca="1" si="19"/>
        <v>27</v>
      </c>
      <c r="X86" s="667"/>
    </row>
    <row r="87" spans="1:25" s="584" customFormat="1" hidden="1">
      <c r="A87" s="684" t="b">
        <f ca="1">_xll.PALO.HIDEROW(ISBLANK($A$1))</f>
        <v>1</v>
      </c>
      <c r="D87" s="600" t="str">
        <f t="shared" ca="1" si="17"/>
        <v>EIE-2024-CONNECT-02</v>
      </c>
      <c r="E87" s="145">
        <f ca="1">_xll.PALO.DATAC("jedoxtest/EU_PM_CUBE02","EUPM_Mittel2_Cube",AT_ExSc_Datenstand,"Alle Beteiligungen","Alle Koordinatoren","Alle Unternehmensgrößen","-2","Alle Organisationstypen",28,"Alle Expertevaluierungsstatus","-2","-2",1,"-2","Alle",$S87,E$7)</f>
        <v>2</v>
      </c>
      <c r="F87" s="145">
        <f ca="1">_xll.PALO.DATAC("jedoxtest/EU_PM_CUBE02","EUPM_Mittel2_Cube",AT_ExSc_Datenstand,"Alle Beteiligungen","Alle Koordinatoren","Alle Unternehmensgrößen","-2","Alle Organisationstypen",28,"Alle Expertevaluierungsstatus","-2","-2",1,"-2","Alle",$S87,F$7)</f>
        <v>221793.75</v>
      </c>
      <c r="G87" s="145">
        <f ca="1">_xll.PALO.DATAC("jedoxtest/EU_PM_CUBE02","EUPM_Mittel2_Cube",AT_ExSc_Datenstand,"Alle Beteiligungen","Alle Koordinatoren","Alle Unternehmensgrößen","-2","Alle Organisationstypen",28,"Alle Expertevaluierungsstatus","-2","-2",1,"-2","Alle",$S87,G$7)</f>
        <v>1</v>
      </c>
      <c r="S87" s="667">
        <v>5195</v>
      </c>
      <c r="T87" s="585" t="str">
        <f ca="1">_xll.PALO.DATA("jedoxtest/EU_PM_CUBE02","#_Call","Bezeichnung",$S87)</f>
        <v>HORIZON-EIE-2024-CONNECT-02</v>
      </c>
      <c r="U87" s="584">
        <f t="shared" ref="U87" ca="1" si="20">LEN(T87)</f>
        <v>27</v>
      </c>
      <c r="X87" s="667"/>
    </row>
    <row r="88" spans="1:25" s="584" customFormat="1" hidden="1">
      <c r="A88" s="689" t="b">
        <f ca="1">_xll.PALO.HIDEROW(ISBLANK($A$1))</f>
        <v>1</v>
      </c>
      <c r="D88" s="600" t="e">
        <f t="shared" ca="1" si="17"/>
        <v>#VALUE!</v>
      </c>
      <c r="E88" s="145" t="str">
        <f ca="1">_xll.PALO.DATAC("jedoxtest/EU_PM_CUBE02","EUPM_Mittel2_Cube",AT_ExSc_Datenstand,"Alle Beteiligungen","Alle Koordinatoren","Alle Unternehmensgrößen","-2","Alle Organisationstypen",28,"Alle Expertevaluierungsstatus","-2","-2",1,"-2","Alle",$S88,E$7)</f>
        <v/>
      </c>
      <c r="F88" s="145" t="str">
        <f ca="1">_xll.PALO.DATAC("jedoxtest/EU_PM_CUBE02","EUPM_Mittel2_Cube",AT_ExSc_Datenstand,"Alle Beteiligungen","Alle Koordinatoren","Alle Unternehmensgrößen","-2","Alle Organisationstypen",28,"Alle Expertevaluierungsstatus","-2","-2",1,"-2","Alle",$S88,F$7)</f>
        <v/>
      </c>
      <c r="G88" s="145" t="str">
        <f ca="1">_xll.PALO.DATAC("jedoxtest/EU_PM_CUBE02","EUPM_Mittel2_Cube",AT_ExSc_Datenstand,"Alle Beteiligungen","Alle Koordinatoren","Alle Unternehmensgrößen","-2","Alle Organisationstypen",28,"Alle Expertevaluierungsstatus","-2","-2",1,"-2","Alle",$S88,G$7)</f>
        <v/>
      </c>
      <c r="S88" s="667"/>
      <c r="T88" s="585" t="str">
        <f ca="1">_xll.PALO.DATA("jedoxtest/EU_PM_CUBE02","#_Call","Bezeichnung",$S88)</f>
        <v/>
      </c>
      <c r="U88" s="584">
        <f t="shared" ref="U88:U90" ca="1" si="21">LEN(T88)</f>
        <v>0</v>
      </c>
      <c r="X88" s="667"/>
    </row>
    <row r="89" spans="1:25" s="584" customFormat="1" hidden="1">
      <c r="A89" s="689" t="b">
        <f ca="1">_xll.PALO.HIDEROW(ISBLANK($A$1))</f>
        <v>1</v>
      </c>
      <c r="D89" s="600" t="e">
        <f t="shared" ca="1" si="17"/>
        <v>#VALUE!</v>
      </c>
      <c r="E89" s="145" t="str">
        <f ca="1">_xll.PALO.DATAC("jedoxtest/EU_PM_CUBE02","EUPM_Mittel2_Cube",AT_ExSc_Datenstand,"Alle Beteiligungen","Alle Koordinatoren","Alle Unternehmensgrößen","-2","Alle Organisationstypen",28,"Alle Expertevaluierungsstatus","-2","-2",1,"-2","Alle",$S89,E$7)</f>
        <v/>
      </c>
      <c r="F89" s="145" t="str">
        <f ca="1">_xll.PALO.DATAC("jedoxtest/EU_PM_CUBE02","EUPM_Mittel2_Cube",AT_ExSc_Datenstand,"Alle Beteiligungen","Alle Koordinatoren","Alle Unternehmensgrößen","-2","Alle Organisationstypen",28,"Alle Expertevaluierungsstatus","-2","-2",1,"-2","Alle",$S89,F$7)</f>
        <v/>
      </c>
      <c r="G89" s="145" t="str">
        <f ca="1">_xll.PALO.DATAC("jedoxtest/EU_PM_CUBE02","EUPM_Mittel2_Cube",AT_ExSc_Datenstand,"Alle Beteiligungen","Alle Koordinatoren","Alle Unternehmensgrößen","-2","Alle Organisationstypen",28,"Alle Expertevaluierungsstatus","-2","-2",1,"-2","Alle",$S89,G$7)</f>
        <v/>
      </c>
      <c r="S89" s="667"/>
      <c r="T89" s="585" t="str">
        <f ca="1">_xll.PALO.DATA("jedoxtest/EU_PM_CUBE02","#_Call","Bezeichnung",$S89)</f>
        <v/>
      </c>
      <c r="U89" s="584">
        <f t="shared" ca="1" si="21"/>
        <v>0</v>
      </c>
      <c r="X89" s="667"/>
    </row>
    <row r="90" spans="1:25" s="584" customFormat="1" hidden="1">
      <c r="A90" s="689" t="b">
        <f ca="1">_xll.PALO.HIDEROW(ISBLANK($A$1))</f>
        <v>1</v>
      </c>
      <c r="D90" s="600" t="e">
        <f t="shared" ca="1" si="17"/>
        <v>#VALUE!</v>
      </c>
      <c r="E90" s="145" t="str">
        <f ca="1">_xll.PALO.DATAC("jedoxtest/EU_PM_CUBE02","EUPM_Mittel2_Cube",AT_ExSc_Datenstand,"Alle Beteiligungen","Alle Koordinatoren","Alle Unternehmensgrößen","-2","Alle Organisationstypen",28,"Alle Expertevaluierungsstatus","-2","-2",1,"-2","Alle",$S90,E$7)</f>
        <v/>
      </c>
      <c r="F90" s="145" t="str">
        <f ca="1">_xll.PALO.DATAC("jedoxtest/EU_PM_CUBE02","EUPM_Mittel2_Cube",AT_ExSc_Datenstand,"Alle Beteiligungen","Alle Koordinatoren","Alle Unternehmensgrößen","-2","Alle Organisationstypen",28,"Alle Expertevaluierungsstatus","-2","-2",1,"-2","Alle",$S90,F$7)</f>
        <v/>
      </c>
      <c r="G90" s="145" t="str">
        <f ca="1">_xll.PALO.DATAC("jedoxtest/EU_PM_CUBE02","EUPM_Mittel2_Cube",AT_ExSc_Datenstand,"Alle Beteiligungen","Alle Koordinatoren","Alle Unternehmensgrößen","-2","Alle Organisationstypen",28,"Alle Expertevaluierungsstatus","-2","-2",1,"-2","Alle",$S90,G$7)</f>
        <v/>
      </c>
      <c r="S90" s="667"/>
      <c r="T90" s="585" t="str">
        <f ca="1">_xll.PALO.DATA("jedoxtest/EU_PM_CUBE02","#_Call","Bezeichnung",$S90)</f>
        <v/>
      </c>
      <c r="U90" s="584">
        <f t="shared" ca="1" si="21"/>
        <v>0</v>
      </c>
      <c r="X90" s="667"/>
    </row>
    <row r="91" spans="1:25" s="584" customFormat="1" hidden="1">
      <c r="A91" s="684" t="b">
        <f ca="1">_xll.PALO.HIDEROW(ISBLANK($A$1))</f>
        <v>1</v>
      </c>
      <c r="S91"/>
      <c r="T91" s="585"/>
      <c r="U91" s="584">
        <f t="shared" si="18"/>
        <v>0</v>
      </c>
      <c r="X91" s="667"/>
    </row>
    <row r="92" spans="1:25" s="584" customFormat="1" hidden="1">
      <c r="A92" s="684" t="b">
        <f ca="1">_xll.PALO.HIDEROW(ISBLANK($A$1))</f>
        <v>1</v>
      </c>
      <c r="D92" s="263" t="s">
        <v>300</v>
      </c>
      <c r="E92" s="599">
        <f ca="1">SUM(E93:E97)</f>
        <v>3</v>
      </c>
      <c r="F92" s="599">
        <f ca="1">SUM(F93:F97)</f>
        <v>14670140</v>
      </c>
      <c r="G92" s="599">
        <f ca="1">SUM(G93:G97)</f>
        <v>0</v>
      </c>
      <c r="S92"/>
      <c r="T92" s="585"/>
      <c r="U92" s="584">
        <f t="shared" si="18"/>
        <v>0</v>
      </c>
      <c r="X92" s="667"/>
    </row>
    <row r="93" spans="1:25" s="584" customFormat="1" hidden="1">
      <c r="A93" s="684" t="b">
        <f ca="1">_xll.PALO.HIDEROW(ISBLANK($A$1))</f>
        <v>1</v>
      </c>
      <c r="D93" s="600" t="str">
        <f t="shared" ref="D93:D97" ca="1" si="22">MID($T93,9,$U93-8)</f>
        <v>EIE-2021-INNOVSMES-01</v>
      </c>
      <c r="E93" s="145">
        <f ca="1">_xll.PALO.DATAC("jedoxtest/EU_PM_CUBE02","EUPM_Mittel2_Cube",AT_ExSc_Datenstand,"Alle Beteiligungen","Alle Koordinatoren","Alle Unternehmensgrößen","-2","Alle Organisationstypen",28,"Alle Expertevaluierungsstatus","-2","-2",1,"-2","Alle",$S93,E$7)</f>
        <v>1</v>
      </c>
      <c r="F93" s="145">
        <f ca="1">_xll.PALO.DATAC("jedoxtest/EU_PM_CUBE02","EUPM_Mittel2_Cube",AT_ExSc_Datenstand,"Alle Beteiligungen","Alle Koordinatoren","Alle Unternehmensgrößen","-2","Alle Organisationstypen",28,"Alle Expertevaluierungsstatus","-2","-2",1,"-2","Alle",$S93,F$7)</f>
        <v>8092813</v>
      </c>
      <c r="G93" s="145">
        <f ca="1">_xll.PALO.DATAC("jedoxtest/EU_PM_CUBE02","EUPM_Mittel2_Cube",AT_ExSc_Datenstand,"Alle Beteiligungen","Alle Koordinatoren","Alle Unternehmensgrößen","-2","Alle Organisationstypen",28,"Alle Expertevaluierungsstatus","-2","-2",1,"-2","Alle",$S93,G$7)</f>
        <v>0</v>
      </c>
      <c r="S93">
        <v>2577</v>
      </c>
      <c r="T93" s="585" t="str">
        <f ca="1">_xll.PALO.DATA("jedoxtest/EU_PM_CUBE02","#_Call","Bezeichnung",$S93)</f>
        <v>HORIZON-EIE-2021-INNOVSMES-01</v>
      </c>
      <c r="U93" s="584">
        <f t="shared" ca="1" si="18"/>
        <v>29</v>
      </c>
      <c r="X93" s="667"/>
    </row>
    <row r="94" spans="1:25" s="584" customFormat="1" hidden="1">
      <c r="A94" s="684" t="b">
        <f ca="1">_xll.PALO.HIDEROW(ISBLANK($A$1))</f>
        <v>1</v>
      </c>
      <c r="D94" s="600" t="str">
        <f t="shared" ca="1" si="22"/>
        <v>EIE-2023-INNOVSMES-01</v>
      </c>
      <c r="E94" s="145">
        <f ca="1">_xll.PALO.DATAC("jedoxtest/EU_PM_CUBE02","EUPM_Mittel2_Cube",AT_ExSc_Datenstand,"Alle Beteiligungen","Alle Koordinatoren","Alle Unternehmensgrößen","-2","Alle Organisationstypen",28,"Alle Expertevaluierungsstatus","-2","-2",1,"-2","Alle",$S94,E$7)</f>
        <v>1</v>
      </c>
      <c r="F94" s="145">
        <f ca="1">_xll.PALO.DATAC("jedoxtest/EU_PM_CUBE02","EUPM_Mittel2_Cube",AT_ExSc_Datenstand,"Alle Beteiligungen","Alle Koordinatoren","Alle Unternehmensgrößen","-2","Alle Organisationstypen",28,"Alle Expertevaluierungsstatus","-2","-2",1,"-2","Alle",$S94,F$7)</f>
        <v>2799999.5</v>
      </c>
      <c r="G94" s="145">
        <f ca="1">_xll.PALO.DATAC("jedoxtest/EU_PM_CUBE02","EUPM_Mittel2_Cube",AT_ExSc_Datenstand,"Alle Beteiligungen","Alle Koordinatoren","Alle Unternehmensgrößen","-2","Alle Organisationstypen",28,"Alle Expertevaluierungsstatus","-2","-2",1,"-2","Alle",$S94,G$7)</f>
        <v>0</v>
      </c>
      <c r="S94">
        <v>2984</v>
      </c>
      <c r="T94" s="585" t="str">
        <f ca="1">_xll.PALO.DATA("jedoxtest/EU_PM_CUBE02","#_Call","Bezeichnung",$S94)</f>
        <v>HORIZON-EIE-2023-INNOVSMES-01</v>
      </c>
      <c r="U94" s="584">
        <f t="shared" ca="1" si="18"/>
        <v>29</v>
      </c>
      <c r="X94" s="667"/>
      <c r="Y94" s="584" t="s">
        <v>358</v>
      </c>
    </row>
    <row r="95" spans="1:25" s="584" customFormat="1" hidden="1">
      <c r="A95" s="689" t="b">
        <f ca="1">_xll.PALO.HIDEROW(ISBLANK($A$1))</f>
        <v>1</v>
      </c>
      <c r="D95" s="600" t="str">
        <f t="shared" ca="1" si="22"/>
        <v>EIE-2025-01</v>
      </c>
      <c r="E95" s="145">
        <f ca="1">_xll.PALO.DATAC("jedoxtest/EU_PM_CUBE02","EUPM_Mittel2_Cube",AT_ExSc_Datenstand,"Alle Beteiligungen","Alle Koordinatoren","Alle Unternehmensgrößen","-2","Alle Organisationstypen",28,"Alle Expertevaluierungsstatus","-2","-2",1,"-2","Alle",$S95,E$7)</f>
        <v>1</v>
      </c>
      <c r="F95" s="145">
        <f ca="1">_xll.PALO.DATAC("jedoxtest/EU_PM_CUBE02","EUPM_Mittel2_Cube",AT_ExSc_Datenstand,"Alle Beteiligungen","Alle Koordinatoren","Alle Unternehmensgrößen","-2","Alle Organisationstypen",28,"Alle Expertevaluierungsstatus","-2","-2",1,"-2","Alle",$S95,F$7)</f>
        <v>3777327.5</v>
      </c>
      <c r="G95" s="145">
        <f ca="1">_xll.PALO.DATAC("jedoxtest/EU_PM_CUBE02","EUPM_Mittel2_Cube",AT_ExSc_Datenstand,"Alle Beteiligungen","Alle Koordinatoren","Alle Unternehmensgrößen","-2","Alle Organisationstypen",28,"Alle Expertevaluierungsstatus","-2","-2",1,"-2","Alle",$S95,G$7)</f>
        <v>0</v>
      </c>
      <c r="S95">
        <v>5283</v>
      </c>
      <c r="T95" s="585" t="str">
        <f ca="1">_xll.PALO.DATA("jedoxtest/EU_PM_CUBE02","#_Call","Bezeichnung",$S95)</f>
        <v>HORIZON-EIE-2025-01</v>
      </c>
      <c r="U95" s="584">
        <f t="shared" ref="U95:U97" ca="1" si="23">LEN(T95)</f>
        <v>19</v>
      </c>
      <c r="X95" s="667"/>
    </row>
    <row r="96" spans="1:25" s="584" customFormat="1" hidden="1">
      <c r="A96" s="689" t="b">
        <f ca="1">_xll.PALO.HIDEROW(ISBLANK($A$1))</f>
        <v>1</v>
      </c>
      <c r="D96" s="600" t="e">
        <f t="shared" ca="1" si="22"/>
        <v>#VALUE!</v>
      </c>
      <c r="E96" s="145" t="str">
        <f ca="1">_xll.PALO.DATAC("jedoxtest/EU_PM_CUBE02","EUPM_Mittel2_Cube",AT_ExSc_Datenstand,"Alle Beteiligungen","Alle Koordinatoren","Alle Unternehmensgrößen","-2","Alle Organisationstypen",28,"Alle Expertevaluierungsstatus","-2","-2",1,"-2","Alle",$S96,E$7)</f>
        <v/>
      </c>
      <c r="F96" s="145" t="str">
        <f ca="1">_xll.PALO.DATAC("jedoxtest/EU_PM_CUBE02","EUPM_Mittel2_Cube",AT_ExSc_Datenstand,"Alle Beteiligungen","Alle Koordinatoren","Alle Unternehmensgrößen","-2","Alle Organisationstypen",28,"Alle Expertevaluierungsstatus","-2","-2",1,"-2","Alle",$S96,F$7)</f>
        <v/>
      </c>
      <c r="G96" s="145" t="str">
        <f ca="1">_xll.PALO.DATAC("jedoxtest/EU_PM_CUBE02","EUPM_Mittel2_Cube",AT_ExSc_Datenstand,"Alle Beteiligungen","Alle Koordinatoren","Alle Unternehmensgrößen","-2","Alle Organisationstypen",28,"Alle Expertevaluierungsstatus","-2","-2",1,"-2","Alle",$S96,G$7)</f>
        <v/>
      </c>
      <c r="S96"/>
      <c r="T96" s="585" t="str">
        <f ca="1">_xll.PALO.DATA("jedoxtest/EU_PM_CUBE02","#_Call","Bezeichnung",$S96)</f>
        <v/>
      </c>
      <c r="U96" s="584">
        <f t="shared" ca="1" si="23"/>
        <v>0</v>
      </c>
      <c r="X96" s="667"/>
    </row>
    <row r="97" spans="1:25" s="584" customFormat="1" hidden="1">
      <c r="A97" s="689" t="b">
        <f ca="1">_xll.PALO.HIDEROW(ISBLANK($A$1))</f>
        <v>1</v>
      </c>
      <c r="D97" s="600" t="e">
        <f t="shared" ca="1" si="22"/>
        <v>#VALUE!</v>
      </c>
      <c r="E97" s="145" t="str">
        <f ca="1">_xll.PALO.DATAC("jedoxtest/EU_PM_CUBE02","EUPM_Mittel2_Cube",AT_ExSc_Datenstand,"Alle Beteiligungen","Alle Koordinatoren","Alle Unternehmensgrößen","-2","Alle Organisationstypen",28,"Alle Expertevaluierungsstatus","-2","-2",1,"-2","Alle",$S97,E$7)</f>
        <v/>
      </c>
      <c r="F97" s="145" t="str">
        <f ca="1">_xll.PALO.DATAC("jedoxtest/EU_PM_CUBE02","EUPM_Mittel2_Cube",AT_ExSc_Datenstand,"Alle Beteiligungen","Alle Koordinatoren","Alle Unternehmensgrößen","-2","Alle Organisationstypen",28,"Alle Expertevaluierungsstatus","-2","-2",1,"-2","Alle",$S97,F$7)</f>
        <v/>
      </c>
      <c r="G97" s="145" t="str">
        <f ca="1">_xll.PALO.DATAC("jedoxtest/EU_PM_CUBE02","EUPM_Mittel2_Cube",AT_ExSc_Datenstand,"Alle Beteiligungen","Alle Koordinatoren","Alle Unternehmensgrößen","-2","Alle Organisationstypen",28,"Alle Expertevaluierungsstatus","-2","-2",1,"-2","Alle",$S97,G$7)</f>
        <v/>
      </c>
      <c r="S97"/>
      <c r="T97" s="585" t="str">
        <f ca="1">_xll.PALO.DATA("jedoxtest/EU_PM_CUBE02","#_Call","Bezeichnung",$S97)</f>
        <v/>
      </c>
      <c r="U97" s="584">
        <f t="shared" ca="1" si="23"/>
        <v>0</v>
      </c>
      <c r="X97" s="667"/>
    </row>
    <row r="98" spans="1:25" s="584" customFormat="1" hidden="1">
      <c r="A98" s="684" t="b">
        <f ca="1">_xll.PALO.HIDEROW(ISBLANK($A$1))</f>
        <v>1</v>
      </c>
      <c r="S98"/>
      <c r="T98" s="585"/>
      <c r="U98" s="584">
        <f t="shared" si="18"/>
        <v>0</v>
      </c>
      <c r="X98" s="692" t="s">
        <v>416</v>
      </c>
      <c r="Y98" s="585" t="str">
        <f ca="1">_xll.PALO.DATA("jedoxtest/EU_PM_CUBE02","#_Call","Bezeichnung",$X98)</f>
        <v>HORIZON-EIE-2025-01</v>
      </c>
    </row>
    <row r="99" spans="1:25" s="584" customFormat="1" hidden="1">
      <c r="A99" s="684" t="b">
        <f ca="1">_xll.PALO.HIDEROW(ISBLANK($A$1))</f>
        <v>1</v>
      </c>
      <c r="D99" s="263" t="s">
        <v>301</v>
      </c>
      <c r="E99" s="599">
        <f ca="1">SUM(E100:E102)</f>
        <v>6</v>
      </c>
      <c r="F99" s="599">
        <f ca="1">SUM(F100:F102)</f>
        <v>545212.5</v>
      </c>
      <c r="G99" s="599">
        <f ca="1">SUM(G100:G102)</f>
        <v>3</v>
      </c>
      <c r="S99"/>
      <c r="T99" s="585"/>
      <c r="U99" s="584">
        <f t="shared" si="18"/>
        <v>0</v>
      </c>
      <c r="X99" s="692" t="s">
        <v>417</v>
      </c>
      <c r="Y99" s="585" t="str">
        <f ca="1">_xll.PALO.DATA("jedoxtest/EU_PM_CUBE02","#_Call","Bezeichnung",$X99)</f>
        <v>HORIZON-EIT-2024-ERMA-EAMA-IBA</v>
      </c>
    </row>
    <row r="100" spans="1:25" s="584" customFormat="1" hidden="1">
      <c r="A100" s="684" t="b">
        <f ca="1">_xll.PALO.HIDEROW(ISBLANK($A$1))</f>
        <v>1</v>
      </c>
      <c r="D100" s="592" t="str">
        <f t="shared" ref="D100:D107" ca="1" si="24">MID($T100,9,$U100-8)</f>
        <v>EIE-2021-SCALEUP-01</v>
      </c>
      <c r="E100" s="588">
        <f ca="1">_xll.PALO.DATAC("jedoxtest/EU_PM_CUBE02","EUPM_Mittel2_Cube",AT_ExSc_Datenstand,"Alle Beteiligungen","Alle Koordinatoren","Alle Unternehmensgrößen","-2","Alle Organisationstypen",28,"Alle Expertevaluierungsstatus","-2","-2",1,"-2","Alle",$S100,E$7)</f>
        <v>4</v>
      </c>
      <c r="F100" s="588">
        <f ca="1">_xll.PALO.DATAC("jedoxtest/EU_PM_CUBE02","EUPM_Mittel2_Cube",AT_ExSc_Datenstand,"Alle Beteiligungen","Alle Koordinatoren","Alle Unternehmensgrößen","-2","Alle Organisationstypen",28,"Alle Expertevaluierungsstatus","-2","-2",1,"-2","Alle",$S100,F$7)</f>
        <v>425437.5</v>
      </c>
      <c r="G100" s="588">
        <f ca="1">_xll.PALO.DATAC("jedoxtest/EU_PM_CUBE02","EUPM_Mittel2_Cube",AT_ExSc_Datenstand,"Alle Beteiligungen","Alle Koordinatoren","Alle Unternehmensgrößen","-2","Alle Organisationstypen",28,"Alle Expertevaluierungsstatus","-2","-2",1,"-2","Alle",$S100,G$7)</f>
        <v>2</v>
      </c>
      <c r="S100">
        <v>2578</v>
      </c>
      <c r="T100" s="585" t="str">
        <f ca="1">_xll.PALO.DATA("jedoxtest/EU_PM_CUBE02","#_Call","Bezeichnung",$S100)</f>
        <v>HORIZON-EIE-2021-SCALEUP-01</v>
      </c>
      <c r="U100" s="584">
        <f t="shared" ca="1" si="18"/>
        <v>27</v>
      </c>
      <c r="X100" s="692" t="s">
        <v>418</v>
      </c>
      <c r="Y100" s="585" t="str">
        <f ca="1">_xll.PALO.DATA("jedoxtest/EU_PM_CUBE02","#_Call","Bezeichnung",$X100)</f>
        <v>HORIZON-EIT-2024-NCP-IBA</v>
      </c>
    </row>
    <row r="101" spans="1:25" s="584" customFormat="1" hidden="1">
      <c r="A101" s="684" t="b">
        <f ca="1">_xll.PALO.HIDEROW(ISBLANK($A$1))</f>
        <v>1</v>
      </c>
      <c r="D101" s="593" t="str">
        <f t="shared" ca="1" si="24"/>
        <v>EIE-2022-SCALEUP-01</v>
      </c>
      <c r="E101" s="587">
        <f ca="1">_xll.PALO.DATAC("jedoxtest/EU_PM_CUBE02","EUPM_Mittel2_Cube",AT_ExSc_Datenstand,"Alle Beteiligungen","Alle Koordinatoren","Alle Unternehmensgrößen","-2","Alle Organisationstypen",28,"Alle Expertevaluierungsstatus","-2","-2",1,"-2","Alle",$S101,E$7)</f>
        <v>1</v>
      </c>
      <c r="F101" s="587">
        <f ca="1">_xll.PALO.DATAC("jedoxtest/EU_PM_CUBE02","EUPM_Mittel2_Cube",AT_ExSc_Datenstand,"Alle Beteiligungen","Alle Koordinatoren","Alle Unternehmensgrößen","-2","Alle Organisationstypen",28,"Alle Expertevaluierungsstatus","-2","-2",1,"-2","Alle",$S101,F$7)</f>
        <v>44775</v>
      </c>
      <c r="G101" s="587">
        <f ca="1">_xll.PALO.DATAC("jedoxtest/EU_PM_CUBE02","EUPM_Mittel2_Cube",AT_ExSc_Datenstand,"Alle Beteiligungen","Alle Koordinatoren","Alle Unternehmensgrößen","-2","Alle Organisationstypen",28,"Alle Expertevaluierungsstatus","-2","-2",1,"-2","Alle",$S101,G$7)</f>
        <v>0</v>
      </c>
      <c r="S101">
        <v>2813</v>
      </c>
      <c r="T101" s="585" t="str">
        <f ca="1">_xll.PALO.DATA("jedoxtest/EU_PM_CUBE02","#_Call","Bezeichnung",$S101)</f>
        <v>HORIZON-EIE-2022-SCALEUP-01</v>
      </c>
      <c r="U101" s="584">
        <f t="shared" ca="1" si="18"/>
        <v>27</v>
      </c>
      <c r="X101" s="692" t="s">
        <v>419</v>
      </c>
      <c r="Y101" s="585" t="str">
        <f ca="1">_xll.PALO.DATA("jedoxtest/EU_PM_CUBE02","#_Call","Bezeichnung",$X101)</f>
        <v>HORIZON-EIT-2024-WomenInnovatorsPrize</v>
      </c>
    </row>
    <row r="102" spans="1:25" s="584" customFormat="1" hidden="1">
      <c r="A102" s="684" t="b">
        <f ca="1">_xll.PALO.HIDEROW(ISBLANK($A$1))</f>
        <v>1</v>
      </c>
      <c r="D102" s="593" t="str">
        <f t="shared" ca="1" si="24"/>
        <v>EIE-2022-SCALEUP-02</v>
      </c>
      <c r="E102" s="587">
        <f ca="1">_xll.PALO.DATAC("jedoxtest/EU_PM_CUBE02","EUPM_Mittel2_Cube",AT_ExSc_Datenstand,"Alle Beteiligungen","Alle Koordinatoren","Alle Unternehmensgrößen","-2","Alle Organisationstypen",28,"Alle Expertevaluierungsstatus","-2","-2",1,"-2","Alle",$S102,E$7)</f>
        <v>1</v>
      </c>
      <c r="F102" s="587">
        <f ca="1">_xll.PALO.DATAC("jedoxtest/EU_PM_CUBE02","EUPM_Mittel2_Cube",AT_ExSc_Datenstand,"Alle Beteiligungen","Alle Koordinatoren","Alle Unternehmensgrößen","-2","Alle Organisationstypen",28,"Alle Expertevaluierungsstatus","-2","-2",1,"-2","Alle",$S102,F$7)</f>
        <v>75000</v>
      </c>
      <c r="G102" s="587">
        <f ca="1">_xll.PALO.DATAC("jedoxtest/EU_PM_CUBE02","EUPM_Mittel2_Cube",AT_ExSc_Datenstand,"Alle Beteiligungen","Alle Koordinatoren","Alle Unternehmensgrößen","-2","Alle Organisationstypen",28,"Alle Expertevaluierungsstatus","-2","-2",1,"-2","Alle",$S102,G$7)</f>
        <v>1</v>
      </c>
      <c r="S102" s="667">
        <v>3023</v>
      </c>
      <c r="T102" s="585" t="str">
        <f ca="1">_xll.PALO.DATA("jedoxtest/EU_PM_CUBE02","#_Call","Bezeichnung",$S102)</f>
        <v>HORIZON-EIE-2022-SCALEUP-02</v>
      </c>
      <c r="U102" s="584">
        <f t="shared" ref="U102" ca="1" si="25">LEN(T102)</f>
        <v>27</v>
      </c>
      <c r="X102" s="692" t="s">
        <v>420</v>
      </c>
      <c r="Y102" s="585" t="str">
        <f ca="1">_xll.PALO.DATA("jedoxtest/EU_PM_CUBE02","#_Call","Bezeichnung",$X102)</f>
        <v>HORIZON-EIT-2025-KIC-IBA</v>
      </c>
    </row>
    <row r="103" spans="1:25" s="584" customFormat="1" hidden="1">
      <c r="A103" s="684" t="b">
        <f ca="1">_xll.PALO.HIDEROW(ISBLANK($A$1))</f>
        <v>1</v>
      </c>
      <c r="D103" s="593" t="e">
        <f t="shared" ca="1" si="24"/>
        <v>#VALUE!</v>
      </c>
      <c r="E103" s="587" t="str">
        <f ca="1">_xll.PALO.DATAC("jedoxtest/EU_PM_CUBE02","EUPM_Mittel2_Cube",AT_ExSc_Datenstand,"Alle Beteiligungen","Alle Koordinatoren","Alle Unternehmensgrößen","-2","Alle Organisationstypen",28,"Alle Expertevaluierungsstatus","-2","-2",1,"-2","Alle",$S103,E$7)</f>
        <v/>
      </c>
      <c r="F103" s="587" t="str">
        <f ca="1">_xll.PALO.DATAC("jedoxtest/EU_PM_CUBE02","EUPM_Mittel2_Cube",AT_ExSc_Datenstand,"Alle Beteiligungen","Alle Koordinatoren","Alle Unternehmensgrößen","-2","Alle Organisationstypen",28,"Alle Expertevaluierungsstatus","-2","-2",1,"-2","Alle",$S103,F$7)</f>
        <v/>
      </c>
      <c r="G103" s="587" t="str">
        <f ca="1">_xll.PALO.DATAC("jedoxtest/EU_PM_CUBE02","EUPM_Mittel2_Cube",AT_ExSc_Datenstand,"Alle Beteiligungen","Alle Koordinatoren","Alle Unternehmensgrößen","-2","Alle Organisationstypen",28,"Alle Expertevaluierungsstatus","-2","-2",1,"-2","Alle",$S103,G$7)</f>
        <v/>
      </c>
      <c r="T103" s="585" t="str">
        <f ca="1">_xll.PALO.DATA("jedoxtest/EU_PM_CUBE02","#_Call","Bezeichnung",$S103)</f>
        <v/>
      </c>
      <c r="U103" s="584">
        <f t="shared" ref="U103:U108" ca="1" si="26">LEN(T103)</f>
        <v>0</v>
      </c>
      <c r="X103" s="667"/>
      <c r="Y103" s="585" t="str">
        <f ca="1">_xll.PALO.DATA("jedoxtest/EU_PM_CUBE02","#_Call","Bezeichnung",$X103)</f>
        <v/>
      </c>
    </row>
    <row r="104" spans="1:25" s="584" customFormat="1" hidden="1">
      <c r="A104" s="684" t="b">
        <f ca="1">_xll.PALO.HIDEROW(ISBLANK($A$1))</f>
        <v>1</v>
      </c>
      <c r="D104" s="593" t="e">
        <f t="shared" ca="1" si="24"/>
        <v>#VALUE!</v>
      </c>
      <c r="E104" s="587" t="str">
        <f ca="1">_xll.PALO.DATAC("jedoxtest/EU_PM_CUBE02","EUPM_Mittel2_Cube",AT_ExSc_Datenstand,"Alle Beteiligungen","Alle Koordinatoren","Alle Unternehmensgrößen","-2","Alle Organisationstypen",28,"Alle Expertevaluierungsstatus","-2","-2",1,"-2","Alle",$S104,E$7)</f>
        <v/>
      </c>
      <c r="F104" s="587" t="str">
        <f ca="1">_xll.PALO.DATAC("jedoxtest/EU_PM_CUBE02","EUPM_Mittel2_Cube",AT_ExSc_Datenstand,"Alle Beteiligungen","Alle Koordinatoren","Alle Unternehmensgrößen","-2","Alle Organisationstypen",28,"Alle Expertevaluierungsstatus","-2","-2",1,"-2","Alle",$S104,F$7)</f>
        <v/>
      </c>
      <c r="G104" s="587" t="str">
        <f ca="1">_xll.PALO.DATAC("jedoxtest/EU_PM_CUBE02","EUPM_Mittel2_Cube",AT_ExSc_Datenstand,"Alle Beteiligungen","Alle Koordinatoren","Alle Unternehmensgrößen","-2","Alle Organisationstypen",28,"Alle Expertevaluierungsstatus","-2","-2",1,"-2","Alle",$S104,G$7)</f>
        <v/>
      </c>
      <c r="T104" s="585" t="str">
        <f ca="1">_xll.PALO.DATA("jedoxtest/EU_PM_CUBE02","#_Call","Bezeichnung",$S104)</f>
        <v/>
      </c>
      <c r="U104" s="584">
        <f t="shared" ca="1" si="26"/>
        <v>0</v>
      </c>
      <c r="X104" s="667"/>
      <c r="Y104" s="585"/>
    </row>
    <row r="105" spans="1:25" s="584" customFormat="1" hidden="1">
      <c r="A105" s="684" t="b">
        <f ca="1">_xll.PALO.HIDEROW(ISBLANK($A$1))</f>
        <v>1</v>
      </c>
      <c r="D105" s="593" t="e">
        <f t="shared" ca="1" si="24"/>
        <v>#VALUE!</v>
      </c>
      <c r="E105" s="587" t="str">
        <f ca="1">_xll.PALO.DATAC("jedoxtest/EU_PM_CUBE02","EUPM_Mittel2_Cube",AT_ExSc_Datenstand,"Alle Beteiligungen","Alle Koordinatoren","Alle Unternehmensgrößen","-2","Alle Organisationstypen",28,"Alle Expertevaluierungsstatus","-2","-2",1,"-2","Alle",$S105,E$7)</f>
        <v/>
      </c>
      <c r="F105" s="587" t="str">
        <f ca="1">_xll.PALO.DATAC("jedoxtest/EU_PM_CUBE02","EUPM_Mittel2_Cube",AT_ExSc_Datenstand,"Alle Beteiligungen","Alle Koordinatoren","Alle Unternehmensgrößen","-2","Alle Organisationstypen",28,"Alle Expertevaluierungsstatus","-2","-2",1,"-2","Alle",$S105,F$7)</f>
        <v/>
      </c>
      <c r="G105" s="587" t="str">
        <f ca="1">_xll.PALO.DATAC("jedoxtest/EU_PM_CUBE02","EUPM_Mittel2_Cube",AT_ExSc_Datenstand,"Alle Beteiligungen","Alle Koordinatoren","Alle Unternehmensgrößen","-2","Alle Organisationstypen",28,"Alle Expertevaluierungsstatus","-2","-2",1,"-2","Alle",$S105,G$7)</f>
        <v/>
      </c>
      <c r="T105" s="585" t="str">
        <f ca="1">_xll.PALO.DATA("jedoxtest/EU_PM_CUBE02","#_Call","Bezeichnung",$S105)</f>
        <v/>
      </c>
      <c r="U105" s="584">
        <f t="shared" ca="1" si="26"/>
        <v>0</v>
      </c>
      <c r="X105" s="667"/>
      <c r="Y105" s="585"/>
    </row>
    <row r="106" spans="1:25" s="584" customFormat="1" hidden="1">
      <c r="A106" s="684" t="b">
        <f ca="1">_xll.PALO.HIDEROW(ISBLANK($A$1))</f>
        <v>1</v>
      </c>
      <c r="D106" s="593" t="e">
        <f t="shared" ca="1" si="24"/>
        <v>#VALUE!</v>
      </c>
      <c r="E106" s="587" t="str">
        <f ca="1">_xll.PALO.DATAC("jedoxtest/EU_PM_CUBE02","EUPM_Mittel2_Cube",AT_ExSc_Datenstand,"Alle Beteiligungen","Alle Koordinatoren","Alle Unternehmensgrößen","-2","Alle Organisationstypen",28,"Alle Expertevaluierungsstatus","-2","-2",1,"-2","Alle",$S106,E$7)</f>
        <v/>
      </c>
      <c r="F106" s="587" t="str">
        <f ca="1">_xll.PALO.DATAC("jedoxtest/EU_PM_CUBE02","EUPM_Mittel2_Cube",AT_ExSc_Datenstand,"Alle Beteiligungen","Alle Koordinatoren","Alle Unternehmensgrößen","-2","Alle Organisationstypen",28,"Alle Expertevaluierungsstatus","-2","-2",1,"-2","Alle",$S106,F$7)</f>
        <v/>
      </c>
      <c r="G106" s="587" t="str">
        <f ca="1">_xll.PALO.DATAC("jedoxtest/EU_PM_CUBE02","EUPM_Mittel2_Cube",AT_ExSc_Datenstand,"Alle Beteiligungen","Alle Koordinatoren","Alle Unternehmensgrößen","-2","Alle Organisationstypen",28,"Alle Expertevaluierungsstatus","-2","-2",1,"-2","Alle",$S106,G$7)</f>
        <v/>
      </c>
      <c r="T106" s="585" t="str">
        <f ca="1">_xll.PALO.DATA("jedoxtest/EU_PM_CUBE02","#_Call","Bezeichnung",$S106)</f>
        <v/>
      </c>
      <c r="U106" s="584">
        <f t="shared" ca="1" si="26"/>
        <v>0</v>
      </c>
      <c r="X106" s="667"/>
      <c r="Y106" s="585"/>
    </row>
    <row r="107" spans="1:25" s="584" customFormat="1" hidden="1">
      <c r="A107" s="696" t="b">
        <f ca="1">_xll.PALO.HIDEROW(ISBLANK($A$1))</f>
        <v>1</v>
      </c>
      <c r="D107" s="593" t="e">
        <f t="shared" si="24"/>
        <v>#VALUE!</v>
      </c>
      <c r="E107" s="587" t="str">
        <f ca="1">_xll.PALO.DATAC("jedoxtest/EU_PM_CUBE02","EUPM_Mittel2_Cube",AT_ExSc_Datenstand,"Alle Beteiligungen","Alle Koordinatoren","Alle Unternehmensgrößen","-2","Alle Organisationstypen",28,"Alle Expertevaluierungsstatus","-2","-2",1,"-2","Alle",$S107,E$7)</f>
        <v/>
      </c>
      <c r="F107" s="587" t="str">
        <f ca="1">_xll.PALO.DATAC("jedoxtest/EU_PM_CUBE02","EUPM_Mittel2_Cube",AT_ExSc_Datenstand,"Alle Beteiligungen","Alle Koordinatoren","Alle Unternehmensgrößen","-2","Alle Organisationstypen",28,"Alle Expertevaluierungsstatus","-2","-2",1,"-2","Alle",$S107,F$7)</f>
        <v/>
      </c>
      <c r="G107" s="587" t="str">
        <f ca="1">_xll.PALO.DATAC("jedoxtest/EU_PM_CUBE02","EUPM_Mittel2_Cube",AT_ExSc_Datenstand,"Alle Beteiligungen","Alle Koordinatoren","Alle Unternehmensgrößen","-2","Alle Organisationstypen",28,"Alle Expertevaluierungsstatus","-2","-2",1,"-2","Alle",$S107,G$7)</f>
        <v/>
      </c>
      <c r="T107" s="585"/>
      <c r="X107" s="667"/>
      <c r="Y107" s="585"/>
    </row>
    <row r="108" spans="1:25" s="584" customFormat="1" hidden="1">
      <c r="A108" s="614" t="b">
        <f ca="1">_xll.PALO.HIDEROW(ISBLANK($A$1))</f>
        <v>1</v>
      </c>
      <c r="T108" s="585" t="str">
        <f ca="1">_xll.PALO.DATA("jedoxtest/EU_PM_CUBE02","#_Call","Bezeichnung",$S108)</f>
        <v/>
      </c>
      <c r="U108" s="584">
        <f t="shared" ca="1" si="26"/>
        <v>0</v>
      </c>
      <c r="X108" s="667"/>
      <c r="Y108" s="585"/>
    </row>
    <row r="109" spans="1:25" s="584" customFormat="1" hidden="1">
      <c r="A109" s="614" t="b">
        <f ca="1">_xll.PALO.HIDEROW(ISBLANK($A$1))</f>
        <v>1</v>
      </c>
      <c r="C109" s="526"/>
      <c r="D109" s="517"/>
      <c r="E109" s="589" t="s">
        <v>1</v>
      </c>
      <c r="F109" s="589" t="s">
        <v>109</v>
      </c>
      <c r="G109" s="589" t="s">
        <v>3</v>
      </c>
      <c r="T109" s="585"/>
    </row>
    <row r="110" spans="1:25" s="584" customFormat="1" ht="30" hidden="1">
      <c r="A110" s="614" t="b">
        <f ca="1">_xll.PALO.HIDEROW(ISBLANK($A$1))</f>
        <v>1</v>
      </c>
      <c r="C110" s="584">
        <v>6166</v>
      </c>
      <c r="D110" s="597" t="str">
        <f ca="1">_xll.PALO.DATA("jedoxtest/EU_PM_CUBE02","#_Programme","Langbezeichnung",$C110)</f>
        <v>The European Institute of Innovation and Technology (EIT)</v>
      </c>
      <c r="E110" s="598">
        <f ca="1">_xll.PALO.DATAC("jedoxtest/EU_PM_CUBE02","EUPM_Mittel2_Cube",AT_ExSc_Datenstand,"Alle Beteiligungen","Alle Koordinatoren","Alle Unternehmensgrößen","-2","Alle Organisationstypen",28,"Alle Expertevaluierungsstatus",$C110,"-2",1,"-2","Alle","-2",E$7)</f>
        <v>8</v>
      </c>
      <c r="F110" s="598">
        <f ca="1">_xll.PALO.DATAC("jedoxtest/EU_PM_CUBE02","EUPM_Mittel2_Cube",AT_ExSc_Datenstand,"Alle Beteiligungen","Alle Koordinatoren","Alle Unternehmensgrößen","-2","Alle Organisationstypen",28,"Alle Expertevaluierungsstatus",$C110,"-2",1,"-2","Alle","-2",F$7)</f>
        <v>4056943.34</v>
      </c>
      <c r="G110" s="598">
        <f ca="1">_xll.PALO.DATAC("jedoxtest/EU_PM_CUBE02","EUPM_Mittel2_Cube",AT_ExSc_Datenstand,"Alle Beteiligungen","Alle Koordinatoren","Alle Unternehmensgrößen","-2","Alle Organisationstypen",28,"Alle Expertevaluierungsstatus",$C110,"-2",1,"-2","Alle","-2",G$7)</f>
        <v>0</v>
      </c>
      <c r="T110" s="585"/>
    </row>
    <row r="111" spans="1:25" s="584" customFormat="1" hidden="1">
      <c r="A111" s="614" t="b">
        <f ca="1">_xll.PALO.HIDEROW(ISBLANK($A$1))</f>
        <v>1</v>
      </c>
      <c r="D111" s="594" t="str">
        <f t="shared" ref="D111:D125" ca="1" si="27">MID($T111,9,$U111-8)</f>
        <v>EIT-2022-KIC-STARTUP</v>
      </c>
      <c r="E111" s="586">
        <f ca="1">_xll.PALO.DATAC("jedoxtest/EU_PM_CUBE02","EUPM_Mittel2_Cube",AT_ExSc_Datenstand,"Alle Beteiligungen","Alle Koordinatoren","Alle Unternehmensgrößen","-2","Alle Organisationstypen",28,"Alle Expertevaluierungsstatus","-2","-2",1,"-2","Alle",$S111,E$7)</f>
        <v>3</v>
      </c>
      <c r="F111" s="586">
        <f ca="1">_xll.PALO.DATAC("jedoxtest/EU_PM_CUBE02","EUPM_Mittel2_Cube",AT_ExSc_Datenstand,"Alle Beteiligungen","Alle Koordinatoren","Alle Unternehmensgrößen","-2","Alle Organisationstypen",28,"Alle Expertevaluierungsstatus","-2","-2",1,"-2","Alle",$S111,F$7)</f>
        <v>251927.09</v>
      </c>
      <c r="G111" s="586">
        <f ca="1">_xll.PALO.DATAC("jedoxtest/EU_PM_CUBE02","EUPM_Mittel2_Cube",AT_ExSc_Datenstand,"Alle Beteiligungen","Alle Koordinatoren","Alle Unternehmensgrößen","-2","Alle Organisationstypen",28,"Alle Expertevaluierungsstatus","-2","-2",1,"-2","Alle",$S111,G$7)</f>
        <v>0</v>
      </c>
      <c r="S111" s="667">
        <v>2814</v>
      </c>
      <c r="T111" s="585" t="str">
        <f ca="1">_xll.PALO.DATA("jedoxtest/EU_PM_CUBE02","#_Call","Bezeichnung",$S111)</f>
        <v>HORIZON-EIT-2022-KIC-STARTUP</v>
      </c>
      <c r="U111" s="584">
        <f t="shared" ref="U111:U112" ca="1" si="28">LEN(T111)</f>
        <v>28</v>
      </c>
    </row>
    <row r="112" spans="1:25" s="584" customFormat="1" hidden="1">
      <c r="A112" s="614" t="b">
        <f ca="1">_xll.PALO.HIDEROW(ISBLANK($A$1))</f>
        <v>1</v>
      </c>
      <c r="D112" s="593" t="str">
        <f t="shared" ca="1" si="27"/>
        <v>EIT-2023-2025-KIC</v>
      </c>
      <c r="E112" s="587">
        <f ca="1">_xll.PALO.DATAC("jedoxtest/EU_PM_CUBE02","EUPM_Mittel2_Cube",AT_ExSc_Datenstand,"Alle Beteiligungen","Alle Koordinatoren","Alle Unternehmensgrößen","-2","Alle Organisationstypen",28,"Alle Expertevaluierungsstatus","-2","-2",1,"-2","Alle",$S112,E$7)</f>
        <v>2</v>
      </c>
      <c r="F112" s="587">
        <f ca="1">_xll.PALO.DATAC("jedoxtest/EU_PM_CUBE02","EUPM_Mittel2_Cube",AT_ExSc_Datenstand,"Alle Beteiligungen","Alle Koordinatoren","Alle Unternehmensgrößen","-2","Alle Organisationstypen",28,"Alle Expertevaluierungsstatus","-2","-2",1,"-2","Alle",$S112,F$7)</f>
        <v>2944468.75</v>
      </c>
      <c r="G112" s="587">
        <f ca="1">_xll.PALO.DATAC("jedoxtest/EU_PM_CUBE02","EUPM_Mittel2_Cube",AT_ExSc_Datenstand,"Alle Beteiligungen","Alle Koordinatoren","Alle Unternehmensgrößen","-2","Alle Organisationstypen",28,"Alle Expertevaluierungsstatus","-2","-2",1,"-2","Alle",$S112,G$7)</f>
        <v>0</v>
      </c>
      <c r="S112" s="667">
        <v>2858</v>
      </c>
      <c r="T112" s="585" t="str">
        <f ca="1">_xll.PALO.DATA("jedoxtest/EU_PM_CUBE02","#_Call","Bezeichnung",$S112)</f>
        <v>HORIZON-EIT-2023-2025-KIC</v>
      </c>
      <c r="U112" s="584">
        <f t="shared" ca="1" si="28"/>
        <v>25</v>
      </c>
    </row>
    <row r="113" spans="1:21" s="584" customFormat="1" hidden="1">
      <c r="A113" s="684" t="b">
        <f ca="1">_xll.PALO.HIDEROW(ISBLANK($A$1))</f>
        <v>1</v>
      </c>
      <c r="D113" s="593" t="str">
        <f t="shared" ca="1" si="27"/>
        <v>EIT-2024-2025-KIC-CCSI</v>
      </c>
      <c r="E113" s="587">
        <f ca="1">_xll.PALO.DATAC("jedoxtest/EU_PM_CUBE02","EUPM_Mittel2_Cube",AT_ExSc_Datenstand,"Alle Beteiligungen","Alle Koordinatoren","Alle Unternehmensgrößen","-2","Alle Organisationstypen",28,"Alle Expertevaluierungsstatus","-2","-2",1,"-2","Alle",$S113,E$7)</f>
        <v>1</v>
      </c>
      <c r="F113" s="587">
        <f ca="1">_xll.PALO.DATAC("jedoxtest/EU_PM_CUBE02","EUPM_Mittel2_Cube",AT_ExSc_Datenstand,"Alle Beteiligungen","Alle Koordinatoren","Alle Unternehmensgrößen","-2","Alle Organisationstypen",28,"Alle Expertevaluierungsstatus","-2","-2",1,"-2","Alle",$S113,F$7)</f>
        <v>752500</v>
      </c>
      <c r="G113" s="587">
        <f ca="1">_xll.PALO.DATAC("jedoxtest/EU_PM_CUBE02","EUPM_Mittel2_Cube",AT_ExSc_Datenstand,"Alle Beteiligungen","Alle Koordinatoren","Alle Unternehmensgrößen","-2","Alle Organisationstypen",28,"Alle Expertevaluierungsstatus","-2","-2",1,"-2","Alle",$S113,G$7)</f>
        <v>0</v>
      </c>
      <c r="S113" s="667">
        <v>3065</v>
      </c>
      <c r="T113" s="585" t="str">
        <f ca="1">_xll.PALO.DATA("jedoxtest/EU_PM_CUBE02","#_Call","Bezeichnung",$S113)</f>
        <v>HORIZON-EIT-2024-2025-KIC-CCSI</v>
      </c>
      <c r="U113" s="584">
        <f t="shared" ref="U113:U115" ca="1" si="29">LEN(T113)</f>
        <v>30</v>
      </c>
    </row>
    <row r="114" spans="1:21" s="584" customFormat="1" hidden="1">
      <c r="A114" s="684" t="b">
        <f ca="1">_xll.PALO.HIDEROW(ISBLANK($A$1))</f>
        <v>1</v>
      </c>
      <c r="D114" s="593" t="str">
        <f t="shared" ca="1" si="27"/>
        <v>EIT-2024-CRM-IBA</v>
      </c>
      <c r="E114" s="587">
        <f ca="1">_xll.PALO.DATAC("jedoxtest/EU_PM_CUBE02","EUPM_Mittel2_Cube",AT_ExSc_Datenstand,"Alle Beteiligungen","Alle Koordinatoren","Alle Unternehmensgrößen","-2","Alle Organisationstypen",28,"Alle Expertevaluierungsstatus","-2","-2",1,"-2","Alle",$S114,E$7)</f>
        <v>0</v>
      </c>
      <c r="F114" s="587">
        <f ca="1">_xll.PALO.DATAC("jedoxtest/EU_PM_CUBE02","EUPM_Mittel2_Cube",AT_ExSc_Datenstand,"Alle Beteiligungen","Alle Koordinatoren","Alle Unternehmensgrößen","-2","Alle Organisationstypen",28,"Alle Expertevaluierungsstatus","-2","-2",1,"-2","Alle",$S114,F$7)</f>
        <v>0</v>
      </c>
      <c r="G114" s="587">
        <f ca="1">_xll.PALO.DATAC("jedoxtest/EU_PM_CUBE02","EUPM_Mittel2_Cube",AT_ExSc_Datenstand,"Alle Beteiligungen","Alle Koordinatoren","Alle Unternehmensgrößen","-2","Alle Organisationstypen",28,"Alle Expertevaluierungsstatus","-2","-2",1,"-2","Alle",$S114,G$7)</f>
        <v>0</v>
      </c>
      <c r="S114" s="667">
        <v>5196</v>
      </c>
      <c r="T114" s="585" t="str">
        <f ca="1">_xll.PALO.DATA("jedoxtest/EU_PM_CUBE02","#_Call","Bezeichnung",$S114)</f>
        <v>HORIZON-EIT-2024-CRM-IBA</v>
      </c>
      <c r="U114" s="584">
        <f t="shared" ca="1" si="29"/>
        <v>24</v>
      </c>
    </row>
    <row r="115" spans="1:21" s="584" customFormat="1" hidden="1">
      <c r="A115" s="684" t="b">
        <f ca="1">_xll.PALO.HIDEROW(ISBLANK($A$1))</f>
        <v>1</v>
      </c>
      <c r="D115" s="593" t="str">
        <f t="shared" ca="1" si="27"/>
        <v>EIT-2024-MOC-IBA</v>
      </c>
      <c r="E115" s="587">
        <f ca="1">_xll.PALO.DATAC("jedoxtest/EU_PM_CUBE02","EUPM_Mittel2_Cube",AT_ExSc_Datenstand,"Alle Beteiligungen","Alle Koordinatoren","Alle Unternehmensgrößen","-2","Alle Organisationstypen",28,"Alle Expertevaluierungsstatus","-2","-2",1,"-2","Alle",$S115,E$7)</f>
        <v>0</v>
      </c>
      <c r="F115" s="587">
        <f ca="1">_xll.PALO.DATAC("jedoxtest/EU_PM_CUBE02","EUPM_Mittel2_Cube",AT_ExSc_Datenstand,"Alle Beteiligungen","Alle Koordinatoren","Alle Unternehmensgrößen","-2","Alle Organisationstypen",28,"Alle Expertevaluierungsstatus","-2","-2",1,"-2","Alle",$S115,F$7)</f>
        <v>0</v>
      </c>
      <c r="G115" s="587">
        <f ca="1">_xll.PALO.DATAC("jedoxtest/EU_PM_CUBE02","EUPM_Mittel2_Cube",AT_ExSc_Datenstand,"Alle Beteiligungen","Alle Koordinatoren","Alle Unternehmensgrößen","-2","Alle Organisationstypen",28,"Alle Expertevaluierungsstatus","-2","-2",1,"-2","Alle",$S115,G$7)</f>
        <v>0</v>
      </c>
      <c r="S115" s="667">
        <v>5197</v>
      </c>
      <c r="T115" s="585" t="str">
        <f ca="1">_xll.PALO.DATA("jedoxtest/EU_PM_CUBE02","#_Call","Bezeichnung",$S115)</f>
        <v>HORIZON-EIT-2024-MOC-IBA</v>
      </c>
      <c r="U115" s="584">
        <f t="shared" ca="1" si="29"/>
        <v>24</v>
      </c>
    </row>
    <row r="116" spans="1:21" s="584" customFormat="1" hidden="1">
      <c r="A116" s="689" t="b">
        <f ca="1">_xll.PALO.HIDEROW(ISBLANK($A$1))</f>
        <v>1</v>
      </c>
      <c r="D116" s="593" t="str">
        <f t="shared" ca="1" si="27"/>
        <v>EIT-2024-ERMA-EAMA-IBA</v>
      </c>
      <c r="E116" s="587">
        <f ca="1">_xll.PALO.DATAC("jedoxtest/EU_PM_CUBE02","EUPM_Mittel2_Cube",AT_ExSc_Datenstand,"Alle Beteiligungen","Alle Koordinatoren","Alle Unternehmensgrößen","-2","Alle Organisationstypen",28,"Alle Expertevaluierungsstatus","-2","-2",1,"-2","Alle",$S116,E$7)</f>
        <v>0</v>
      </c>
      <c r="F116" s="587">
        <f ca="1">_xll.PALO.DATAC("jedoxtest/EU_PM_CUBE02","EUPM_Mittel2_Cube",AT_ExSc_Datenstand,"Alle Beteiligungen","Alle Koordinatoren","Alle Unternehmensgrößen","-2","Alle Organisationstypen",28,"Alle Expertevaluierungsstatus","-2","-2",1,"-2","Alle",$S116,F$7)</f>
        <v>0</v>
      </c>
      <c r="G116" s="587">
        <f ca="1">_xll.PALO.DATAC("jedoxtest/EU_PM_CUBE02","EUPM_Mittel2_Cube",AT_ExSc_Datenstand,"Alle Beteiligungen","Alle Koordinatoren","Alle Unternehmensgrößen","-2","Alle Organisationstypen",28,"Alle Expertevaluierungsstatus","-2","-2",1,"-2","Alle",$S116,G$7)</f>
        <v>0</v>
      </c>
      <c r="S116" s="664">
        <v>5235</v>
      </c>
      <c r="T116" s="585" t="str">
        <f ca="1">_xll.PALO.DATA("jedoxtest/EU_PM_CUBE02","#_Call","Bezeichnung",$S116)</f>
        <v>HORIZON-EIT-2024-ERMA-EAMA-IBA</v>
      </c>
      <c r="U116" s="584">
        <f t="shared" ref="U116:U125" ca="1" si="30">LEN(T116)</f>
        <v>30</v>
      </c>
    </row>
    <row r="117" spans="1:21" s="584" customFormat="1" hidden="1">
      <c r="A117" s="689" t="b">
        <f ca="1">_xll.PALO.HIDEROW(ISBLANK($A$1))</f>
        <v>1</v>
      </c>
      <c r="D117" s="593" t="str">
        <f t="shared" ca="1" si="27"/>
        <v>EIT-2024-NCP-IBA</v>
      </c>
      <c r="E117" s="587">
        <f ca="1">_xll.PALO.DATAC("jedoxtest/EU_PM_CUBE02","EUPM_Mittel2_Cube",AT_ExSc_Datenstand,"Alle Beteiligungen","Alle Koordinatoren","Alle Unternehmensgrößen","-2","Alle Organisationstypen",28,"Alle Expertevaluierungsstatus","-2","-2",1,"-2","Alle",$S117,E$7)</f>
        <v>0</v>
      </c>
      <c r="F117" s="587">
        <f ca="1">_xll.PALO.DATAC("jedoxtest/EU_PM_CUBE02","EUPM_Mittel2_Cube",AT_ExSc_Datenstand,"Alle Beteiligungen","Alle Koordinatoren","Alle Unternehmensgrößen","-2","Alle Organisationstypen",28,"Alle Expertevaluierungsstatus","-2","-2",1,"-2","Alle",$S117,F$7)</f>
        <v>0</v>
      </c>
      <c r="G117" s="587">
        <f ca="1">_xll.PALO.DATAC("jedoxtest/EU_PM_CUBE02","EUPM_Mittel2_Cube",AT_ExSc_Datenstand,"Alle Beteiligungen","Alle Koordinatoren","Alle Unternehmensgrößen","-2","Alle Organisationstypen",28,"Alle Expertevaluierungsstatus","-2","-2",1,"-2","Alle",$S117,G$7)</f>
        <v>0</v>
      </c>
      <c r="S117" s="664">
        <v>5236</v>
      </c>
      <c r="T117" s="585" t="str">
        <f ca="1">_xll.PALO.DATA("jedoxtest/EU_PM_CUBE02","#_Call","Bezeichnung",$S117)</f>
        <v>HORIZON-EIT-2024-NCP-IBA</v>
      </c>
      <c r="U117" s="584">
        <f t="shared" ca="1" si="30"/>
        <v>24</v>
      </c>
    </row>
    <row r="118" spans="1:21" s="584" customFormat="1" hidden="1">
      <c r="A118" s="689" t="b">
        <f ca="1">_xll.PALO.HIDEROW(ISBLANK($A$1))</f>
        <v>1</v>
      </c>
      <c r="D118" s="593" t="str">
        <f t="shared" ca="1" si="27"/>
        <v>EIT-2024-WomenInnovatorsPrize</v>
      </c>
      <c r="E118" s="587">
        <f ca="1">_xll.PALO.DATAC("jedoxtest/EU_PM_CUBE02","EUPM_Mittel2_Cube",AT_ExSc_Datenstand,"Alle Beteiligungen","Alle Koordinatoren","Alle Unternehmensgrößen","-2","Alle Organisationstypen",28,"Alle Expertevaluierungsstatus","-2","-2",1,"-2","Alle",$S118,E$7)</f>
        <v>0</v>
      </c>
      <c r="F118" s="587">
        <f ca="1">_xll.PALO.DATAC("jedoxtest/EU_PM_CUBE02","EUPM_Mittel2_Cube",AT_ExSc_Datenstand,"Alle Beteiligungen","Alle Koordinatoren","Alle Unternehmensgrößen","-2","Alle Organisationstypen",28,"Alle Expertevaluierungsstatus","-2","-2",1,"-2","Alle",$S118,F$7)</f>
        <v>0</v>
      </c>
      <c r="G118" s="587">
        <f ca="1">_xll.PALO.DATAC("jedoxtest/EU_PM_CUBE02","EUPM_Mittel2_Cube",AT_ExSc_Datenstand,"Alle Beteiligungen","Alle Koordinatoren","Alle Unternehmensgrößen","-2","Alle Organisationstypen",28,"Alle Expertevaluierungsstatus","-2","-2",1,"-2","Alle",$S118,G$7)</f>
        <v>0</v>
      </c>
      <c r="S118" s="664">
        <v>5237</v>
      </c>
      <c r="T118" s="585" t="str">
        <f ca="1">_xll.PALO.DATA("jedoxtest/EU_PM_CUBE02","#_Call","Bezeichnung",$S118)</f>
        <v>HORIZON-EIT-2024-WomenInnovatorsPrize</v>
      </c>
      <c r="U118" s="584">
        <f t="shared" ca="1" si="30"/>
        <v>37</v>
      </c>
    </row>
    <row r="119" spans="1:21" s="584" customFormat="1" hidden="1">
      <c r="A119" s="689" t="b">
        <f ca="1">_xll.PALO.HIDEROW(ISBLANK($A$1))</f>
        <v>1</v>
      </c>
      <c r="D119" s="593" t="str">
        <f t="shared" ca="1" si="27"/>
        <v>EIT-2025-KIC-IBA</v>
      </c>
      <c r="E119" s="587">
        <f ca="1">_xll.PALO.DATAC("jedoxtest/EU_PM_CUBE02","EUPM_Mittel2_Cube",AT_ExSc_Datenstand,"Alle Beteiligungen","Alle Koordinatoren","Alle Unternehmensgrößen","-2","Alle Organisationstypen",28,"Alle Expertevaluierungsstatus","-2","-2",1,"-2","Alle",$S119,E$7)</f>
        <v>1</v>
      </c>
      <c r="F119" s="587">
        <f ca="1">_xll.PALO.DATAC("jedoxtest/EU_PM_CUBE02","EUPM_Mittel2_Cube",AT_ExSc_Datenstand,"Alle Beteiligungen","Alle Koordinatoren","Alle Unternehmensgrößen","-2","Alle Organisationstypen",28,"Alle Expertevaluierungsstatus","-2","-2",1,"-2","Alle",$S119,F$7)</f>
        <v>0</v>
      </c>
      <c r="G119" s="587">
        <f ca="1">_xll.PALO.DATAC("jedoxtest/EU_PM_CUBE02","EUPM_Mittel2_Cube",AT_ExSc_Datenstand,"Alle Beteiligungen","Alle Koordinatoren","Alle Unternehmensgrößen","-2","Alle Organisationstypen",28,"Alle Expertevaluierungsstatus","-2","-2",1,"-2","Alle",$S119,G$7)</f>
        <v>0</v>
      </c>
      <c r="S119" s="664">
        <v>5284</v>
      </c>
      <c r="T119" s="585" t="str">
        <f ca="1">_xll.PALO.DATA("jedoxtest/EU_PM_CUBE02","#_Call","Bezeichnung",$S119)</f>
        <v>HORIZON-EIT-2025-KIC-IBA</v>
      </c>
      <c r="U119" s="584">
        <f t="shared" ca="1" si="30"/>
        <v>24</v>
      </c>
    </row>
    <row r="120" spans="1:21" s="584" customFormat="1" hidden="1">
      <c r="A120" s="689" t="b">
        <f ca="1">_xll.PALO.HIDEROW(ISBLANK($A$1))</f>
        <v>1</v>
      </c>
      <c r="D120" s="593" t="e">
        <f t="shared" ca="1" si="27"/>
        <v>#VALUE!</v>
      </c>
      <c r="E120" s="587" t="str">
        <f ca="1">_xll.PALO.DATAC("jedoxtest/EU_PM_CUBE02","EUPM_Mittel2_Cube",AT_ExSc_Datenstand,"Alle Beteiligungen","Alle Koordinatoren","Alle Unternehmensgrößen","-2","Alle Organisationstypen",28,"Alle Expertevaluierungsstatus","-2","-2",1,"-2","Alle",$S120,E$7)</f>
        <v/>
      </c>
      <c r="F120" s="587" t="str">
        <f ca="1">_xll.PALO.DATAC("jedoxtest/EU_PM_CUBE02","EUPM_Mittel2_Cube",AT_ExSc_Datenstand,"Alle Beteiligungen","Alle Koordinatoren","Alle Unternehmensgrößen","-2","Alle Organisationstypen",28,"Alle Expertevaluierungsstatus","-2","-2",1,"-2","Alle",$S120,F$7)</f>
        <v/>
      </c>
      <c r="G120" s="587" t="str">
        <f ca="1">_xll.PALO.DATAC("jedoxtest/EU_PM_CUBE02","EUPM_Mittel2_Cube",AT_ExSc_Datenstand,"Alle Beteiligungen","Alle Koordinatoren","Alle Unternehmensgrößen","-2","Alle Organisationstypen",28,"Alle Expertevaluierungsstatus","-2","-2",1,"-2","Alle",$S120,G$7)</f>
        <v/>
      </c>
      <c r="S120" s="643"/>
      <c r="T120" s="585" t="str">
        <f ca="1">_xll.PALO.DATA("jedoxtest/EU_PM_CUBE02","#_Call","Bezeichnung",$S120)</f>
        <v/>
      </c>
      <c r="U120" s="584">
        <f t="shared" ca="1" si="30"/>
        <v>0</v>
      </c>
    </row>
    <row r="121" spans="1:21" s="584" customFormat="1" hidden="1">
      <c r="A121" s="689" t="b">
        <f ca="1">_xll.PALO.HIDEROW(ISBLANK($A$1))</f>
        <v>1</v>
      </c>
      <c r="D121" s="593" t="e">
        <f t="shared" ca="1" si="27"/>
        <v>#VALUE!</v>
      </c>
      <c r="E121" s="587" t="str">
        <f ca="1">_xll.PALO.DATAC("jedoxtest/EU_PM_CUBE02","EUPM_Mittel2_Cube",AT_ExSc_Datenstand,"Alle Beteiligungen","Alle Koordinatoren","Alle Unternehmensgrößen","-2","Alle Organisationstypen",28,"Alle Expertevaluierungsstatus","-2","-2",1,"-2","Alle",$S121,E$7)</f>
        <v/>
      </c>
      <c r="F121" s="587" t="str">
        <f ca="1">_xll.PALO.DATAC("jedoxtest/EU_PM_CUBE02","EUPM_Mittel2_Cube",AT_ExSc_Datenstand,"Alle Beteiligungen","Alle Koordinatoren","Alle Unternehmensgrößen","-2","Alle Organisationstypen",28,"Alle Expertevaluierungsstatus","-2","-2",1,"-2","Alle",$S121,F$7)</f>
        <v/>
      </c>
      <c r="G121" s="587" t="str">
        <f ca="1">_xll.PALO.DATAC("jedoxtest/EU_PM_CUBE02","EUPM_Mittel2_Cube",AT_ExSc_Datenstand,"Alle Beteiligungen","Alle Koordinatoren","Alle Unternehmensgrößen","-2","Alle Organisationstypen",28,"Alle Expertevaluierungsstatus","-2","-2",1,"-2","Alle",$S121,G$7)</f>
        <v/>
      </c>
      <c r="S121" s="643"/>
      <c r="T121" s="585" t="str">
        <f ca="1">_xll.PALO.DATA("jedoxtest/EU_PM_CUBE02","#_Call","Bezeichnung",$S121)</f>
        <v/>
      </c>
      <c r="U121" s="584">
        <f t="shared" ca="1" si="30"/>
        <v>0</v>
      </c>
    </row>
    <row r="122" spans="1:21" s="584" customFormat="1" hidden="1">
      <c r="A122" s="689" t="b">
        <f ca="1">_xll.PALO.HIDEROW(ISBLANK($A$1))</f>
        <v>1</v>
      </c>
      <c r="D122" s="593" t="e">
        <f t="shared" ca="1" si="27"/>
        <v>#VALUE!</v>
      </c>
      <c r="E122" s="587" t="str">
        <f ca="1">_xll.PALO.DATAC("jedoxtest/EU_PM_CUBE02","EUPM_Mittel2_Cube",AT_ExSc_Datenstand,"Alle Beteiligungen","Alle Koordinatoren","Alle Unternehmensgrößen","-2","Alle Organisationstypen",28,"Alle Expertevaluierungsstatus","-2","-2",1,"-2","Alle",$S122,E$7)</f>
        <v/>
      </c>
      <c r="F122" s="587" t="str">
        <f ca="1">_xll.PALO.DATAC("jedoxtest/EU_PM_CUBE02","EUPM_Mittel2_Cube",AT_ExSc_Datenstand,"Alle Beteiligungen","Alle Koordinatoren","Alle Unternehmensgrößen","-2","Alle Organisationstypen",28,"Alle Expertevaluierungsstatus","-2","-2",1,"-2","Alle",$S122,F$7)</f>
        <v/>
      </c>
      <c r="G122" s="587" t="str">
        <f ca="1">_xll.PALO.DATAC("jedoxtest/EU_PM_CUBE02","EUPM_Mittel2_Cube",AT_ExSc_Datenstand,"Alle Beteiligungen","Alle Koordinatoren","Alle Unternehmensgrößen","-2","Alle Organisationstypen",28,"Alle Expertevaluierungsstatus","-2","-2",1,"-2","Alle",$S122,G$7)</f>
        <v/>
      </c>
      <c r="S122"/>
      <c r="T122" s="585" t="str">
        <f ca="1">_xll.PALO.DATA("jedoxtest/EU_PM_CUBE02","#_Call","Bezeichnung",$S122)</f>
        <v/>
      </c>
      <c r="U122" s="584">
        <f t="shared" ca="1" si="30"/>
        <v>0</v>
      </c>
    </row>
    <row r="123" spans="1:21" s="584" customFormat="1" hidden="1">
      <c r="A123" s="689" t="b">
        <f ca="1">_xll.PALO.HIDEROW(ISBLANK($A$1))</f>
        <v>1</v>
      </c>
      <c r="D123" s="593" t="e">
        <f t="shared" ca="1" si="27"/>
        <v>#VALUE!</v>
      </c>
      <c r="E123" s="587" t="str">
        <f ca="1">_xll.PALO.DATAC("jedoxtest/EU_PM_CUBE02","EUPM_Mittel2_Cube",AT_ExSc_Datenstand,"Alle Beteiligungen","Alle Koordinatoren","Alle Unternehmensgrößen","-2","Alle Organisationstypen",28,"Alle Expertevaluierungsstatus","-2","-2",1,"-2","Alle",$S123,E$7)</f>
        <v/>
      </c>
      <c r="F123" s="587" t="str">
        <f ca="1">_xll.PALO.DATAC("jedoxtest/EU_PM_CUBE02","EUPM_Mittel2_Cube",AT_ExSc_Datenstand,"Alle Beteiligungen","Alle Koordinatoren","Alle Unternehmensgrößen","-2","Alle Organisationstypen",28,"Alle Expertevaluierungsstatus","-2","-2",1,"-2","Alle",$S123,F$7)</f>
        <v/>
      </c>
      <c r="G123" s="587" t="str">
        <f ca="1">_xll.PALO.DATAC("jedoxtest/EU_PM_CUBE02","EUPM_Mittel2_Cube",AT_ExSc_Datenstand,"Alle Beteiligungen","Alle Koordinatoren","Alle Unternehmensgrößen","-2","Alle Organisationstypen",28,"Alle Expertevaluierungsstatus","-2","-2",1,"-2","Alle",$S123,G$7)</f>
        <v/>
      </c>
      <c r="S123"/>
      <c r="T123" s="585" t="str">
        <f ca="1">_xll.PALO.DATA("jedoxtest/EU_PM_CUBE02","#_Call","Bezeichnung",$S123)</f>
        <v/>
      </c>
      <c r="U123" s="584">
        <f t="shared" ca="1" si="30"/>
        <v>0</v>
      </c>
    </row>
    <row r="124" spans="1:21" s="584" customFormat="1" hidden="1">
      <c r="A124" s="689" t="b">
        <f ca="1">_xll.PALO.HIDEROW(ISBLANK($A$1))</f>
        <v>1</v>
      </c>
      <c r="D124" s="593" t="e">
        <f t="shared" ca="1" si="27"/>
        <v>#VALUE!</v>
      </c>
      <c r="E124" s="587" t="str">
        <f ca="1">_xll.PALO.DATAC("jedoxtest/EU_PM_CUBE02","EUPM_Mittel2_Cube",AT_ExSc_Datenstand,"Alle Beteiligungen","Alle Koordinatoren","Alle Unternehmensgrößen","-2","Alle Organisationstypen",28,"Alle Expertevaluierungsstatus","-2","-2",1,"-2","Alle",$S124,E$7)</f>
        <v/>
      </c>
      <c r="F124" s="587" t="str">
        <f ca="1">_xll.PALO.DATAC("jedoxtest/EU_PM_CUBE02","EUPM_Mittel2_Cube",AT_ExSc_Datenstand,"Alle Beteiligungen","Alle Koordinatoren","Alle Unternehmensgrößen","-2","Alle Organisationstypen",28,"Alle Expertevaluierungsstatus","-2","-2",1,"-2","Alle",$S124,F$7)</f>
        <v/>
      </c>
      <c r="G124" s="587" t="str">
        <f ca="1">_xll.PALO.DATAC("jedoxtest/EU_PM_CUBE02","EUPM_Mittel2_Cube",AT_ExSc_Datenstand,"Alle Beteiligungen","Alle Koordinatoren","Alle Unternehmensgrößen","-2","Alle Organisationstypen",28,"Alle Expertevaluierungsstatus","-2","-2",1,"-2","Alle",$S124,G$7)</f>
        <v/>
      </c>
      <c r="S124"/>
      <c r="T124" s="585" t="str">
        <f ca="1">_xll.PALO.DATA("jedoxtest/EU_PM_CUBE02","#_Call","Bezeichnung",$S124)</f>
        <v/>
      </c>
      <c r="U124" s="584">
        <f t="shared" ca="1" si="30"/>
        <v>0</v>
      </c>
    </row>
    <row r="125" spans="1:21" s="584" customFormat="1" hidden="1">
      <c r="A125" s="689" t="b">
        <f ca="1">_xll.PALO.HIDEROW(ISBLANK($A$1))</f>
        <v>1</v>
      </c>
      <c r="D125" s="593" t="e">
        <f t="shared" ca="1" si="27"/>
        <v>#VALUE!</v>
      </c>
      <c r="E125" s="587" t="str">
        <f ca="1">_xll.PALO.DATAC("jedoxtest/EU_PM_CUBE02","EUPM_Mittel2_Cube",AT_ExSc_Datenstand,"Alle Beteiligungen","Alle Koordinatoren","Alle Unternehmensgrößen","-2","Alle Organisationstypen",28,"Alle Expertevaluierungsstatus","-2","-2",1,"-2","Alle",$S125,E$7)</f>
        <v/>
      </c>
      <c r="F125" s="587" t="str">
        <f ca="1">_xll.PALO.DATAC("jedoxtest/EU_PM_CUBE02","EUPM_Mittel2_Cube",AT_ExSc_Datenstand,"Alle Beteiligungen","Alle Koordinatoren","Alle Unternehmensgrößen","-2","Alle Organisationstypen",28,"Alle Expertevaluierungsstatus","-2","-2",1,"-2","Alle",$S125,F$7)</f>
        <v/>
      </c>
      <c r="G125" s="587" t="str">
        <f ca="1">_xll.PALO.DATAC("jedoxtest/EU_PM_CUBE02","EUPM_Mittel2_Cube",AT_ExSc_Datenstand,"Alle Beteiligungen","Alle Koordinatoren","Alle Unternehmensgrößen","-2","Alle Organisationstypen",28,"Alle Expertevaluierungsstatus","-2","-2",1,"-2","Alle",$S125,G$7)</f>
        <v/>
      </c>
      <c r="S125"/>
      <c r="T125" s="585" t="str">
        <f ca="1">_xll.PALO.DATA("jedoxtest/EU_PM_CUBE02","#_Call","Bezeichnung",$S125)</f>
        <v/>
      </c>
      <c r="U125" s="584">
        <f t="shared" ca="1" si="30"/>
        <v>0</v>
      </c>
    </row>
    <row r="126" spans="1:21" s="584" customFormat="1">
      <c r="D126" s="600"/>
      <c r="E126" s="145"/>
      <c r="F126" s="145"/>
      <c r="G126" s="145"/>
      <c r="S126"/>
      <c r="T126" s="585"/>
    </row>
    <row r="127" spans="1:21" s="584" customFormat="1" ht="39.6" customHeight="1">
      <c r="D127" s="733" t="s">
        <v>330</v>
      </c>
      <c r="E127" s="733"/>
      <c r="F127" s="733"/>
      <c r="G127" s="733"/>
      <c r="S127"/>
      <c r="T127" s="585"/>
    </row>
    <row r="128" spans="1:21" s="584" customFormat="1" ht="43.5" customHeight="1">
      <c r="D128" s="733" t="s">
        <v>328</v>
      </c>
      <c r="E128" s="733"/>
      <c r="F128" s="733"/>
      <c r="G128" s="733"/>
      <c r="S128"/>
      <c r="T128" s="585"/>
    </row>
    <row r="129" spans="1:23" s="584" customFormat="1" ht="56.25" customHeight="1">
      <c r="D129" s="733" t="s">
        <v>329</v>
      </c>
      <c r="E129" s="733"/>
      <c r="F129" s="733"/>
      <c r="G129" s="733"/>
      <c r="T129" s="585"/>
    </row>
    <row r="130" spans="1:23" s="584" customFormat="1" hidden="1">
      <c r="A130" s="614" t="b">
        <f ca="1">_xll.PALO.HIDEROW(ISBLANK($A$1))</f>
        <v>1</v>
      </c>
      <c r="D130" s="600"/>
      <c r="E130" s="145"/>
      <c r="F130" s="145"/>
      <c r="G130" s="145"/>
      <c r="S130" s="618"/>
      <c r="T130" s="618" t="s">
        <v>363</v>
      </c>
      <c r="U130" s="618"/>
    </row>
    <row r="131" spans="1:23" s="584" customFormat="1" hidden="1">
      <c r="A131" s="614" t="b">
        <f ca="1">_xll.PALO.HIDEROW(ISBLANK($A$1))</f>
        <v>1</v>
      </c>
      <c r="D131" s="600"/>
      <c r="E131" s="145"/>
      <c r="F131" s="145"/>
      <c r="G131" s="145"/>
      <c r="S131"/>
      <c r="T131" s="585" t="str">
        <f ca="1">_xll.PALO.DATA("jedoxtest/EU_PM_CUBE02","#_Call","Bezeichnung",$S131)</f>
        <v/>
      </c>
      <c r="U131" s="619"/>
    </row>
    <row r="132" spans="1:23" s="584" customFormat="1" hidden="1">
      <c r="A132" s="614" t="b">
        <f ca="1">_xll.PALO.HIDEROW(ISBLANK($A$1))</f>
        <v>1</v>
      </c>
      <c r="D132" s="600"/>
      <c r="E132" s="145"/>
      <c r="F132" s="145"/>
      <c r="G132" s="145"/>
      <c r="T132" s="585" t="str">
        <f ca="1">_xll.PALO.DATA("jedoxtest/EU_PM_CUBE02","#_Call","Bezeichnung",$S132)</f>
        <v/>
      </c>
    </row>
    <row r="133" spans="1:23" s="584" customFormat="1">
      <c r="D133" s="600"/>
      <c r="E133" s="145"/>
      <c r="F133" s="145"/>
      <c r="G133" s="145"/>
      <c r="T133" s="585" t="str">
        <f ca="1">_xll.PALO.DATA("jedoxtest/EU_PM_CUBE02","#_Call","Bezeichnung",$S133)</f>
        <v/>
      </c>
    </row>
    <row r="134" spans="1:23" s="584" customFormat="1">
      <c r="S134"/>
      <c r="T134" s="585"/>
    </row>
    <row r="135" spans="1:23" s="584" customFormat="1">
      <c r="D135" s="732" t="str">
        <f ca="1">"Quelle: EC "&amp;_xll.PALO.DATA("jedoxtest/EU_PM_CUBE02","#_Datenstand","reference_month",AT_ExSc_Datenstand)&amp;"/"&amp;_xll.PALO.DATA("jedoxtest/EU_PM_CUBE02","#_Datenstand","reference_year",AT_ExSc_Datenstand)&amp;"; Darstellung FFG"</f>
        <v>Quelle: EC 5/2026; Darstellung FFG</v>
      </c>
      <c r="E135" s="732"/>
      <c r="F135" s="732"/>
      <c r="G135" s="732"/>
      <c r="T135" s="585"/>
    </row>
    <row r="136" spans="1:23" s="584" customFormat="1">
      <c r="D136" s="732"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E136" s="732"/>
      <c r="F136" s="732"/>
      <c r="G136" s="732"/>
      <c r="T136" s="585"/>
    </row>
    <row r="137" spans="1:23" s="584" customFormat="1">
      <c r="T137" s="585"/>
    </row>
    <row r="138" spans="1:23" s="584" customFormat="1">
      <c r="T138" s="585"/>
    </row>
    <row r="139" spans="1:23" s="584" customFormat="1">
      <c r="T139"/>
      <c r="U139"/>
      <c r="V139"/>
      <c r="W139"/>
    </row>
    <row r="140" spans="1:23" s="584" customFormat="1">
      <c r="T140"/>
      <c r="U140"/>
      <c r="V140"/>
      <c r="W140"/>
    </row>
    <row r="141" spans="1:23" s="584" customFormat="1">
      <c r="T141" s="585"/>
    </row>
    <row r="142" spans="1:23" s="584" customFormat="1">
      <c r="T142" s="585"/>
    </row>
    <row r="143" spans="1:23" s="584" customFormat="1">
      <c r="T143" s="585"/>
    </row>
    <row r="144" spans="1:23" s="584" customFormat="1">
      <c r="T144" s="585"/>
    </row>
    <row r="145" spans="20:20" s="584" customFormat="1">
      <c r="T145" s="585"/>
    </row>
    <row r="146" spans="20:20" s="584" customFormat="1">
      <c r="T146" s="585"/>
    </row>
    <row r="147" spans="20:20" s="584" customFormat="1">
      <c r="T147" s="585"/>
    </row>
    <row r="148" spans="20:20" s="584" customFormat="1">
      <c r="T148" s="585"/>
    </row>
    <row r="149" spans="20:20" s="584" customFormat="1">
      <c r="T149" s="585"/>
    </row>
    <row r="150" spans="20:20" s="584" customFormat="1">
      <c r="T150" s="585"/>
    </row>
    <row r="151" spans="20:20" s="584" customFormat="1">
      <c r="T151" s="585"/>
    </row>
    <row r="152" spans="20:20" s="584" customFormat="1">
      <c r="T152" s="585"/>
    </row>
    <row r="153" spans="20:20" s="584" customFormat="1">
      <c r="T153" s="585"/>
    </row>
    <row r="154" spans="20:20" s="584" customFormat="1">
      <c r="T154" s="585"/>
    </row>
    <row r="155" spans="20:20" s="584" customFormat="1">
      <c r="T155" s="585"/>
    </row>
    <row r="156" spans="20:20" s="584" customFormat="1">
      <c r="T156" s="585"/>
    </row>
    <row r="157" spans="20:20" s="584" customFormat="1">
      <c r="T157" s="585"/>
    </row>
    <row r="158" spans="20:20" s="584" customFormat="1">
      <c r="T158" s="585"/>
    </row>
    <row r="159" spans="20:20" s="584" customFormat="1">
      <c r="T159" s="585"/>
    </row>
    <row r="160" spans="20:20" s="584" customFormat="1">
      <c r="T160" s="585"/>
    </row>
    <row r="161" spans="20:20" s="584" customFormat="1">
      <c r="T161" s="585"/>
    </row>
    <row r="162" spans="20:20" s="584" customFormat="1">
      <c r="T162" s="585"/>
    </row>
    <row r="163" spans="20:20" s="584" customFormat="1">
      <c r="T163" s="585"/>
    </row>
    <row r="164" spans="20:20" s="584" customFormat="1">
      <c r="T164" s="585"/>
    </row>
    <row r="165" spans="20:20" s="584" customFormat="1">
      <c r="T165" s="585"/>
    </row>
    <row r="166" spans="20:20" s="584" customFormat="1">
      <c r="T166" s="585"/>
    </row>
    <row r="167" spans="20:20" s="584" customFormat="1">
      <c r="T167" s="585"/>
    </row>
    <row r="168" spans="20:20" s="584" customFormat="1">
      <c r="T168" s="585"/>
    </row>
    <row r="169" spans="20:20" s="584" customFormat="1">
      <c r="T169" s="585"/>
    </row>
    <row r="170" spans="20:20" s="584" customFormat="1">
      <c r="T170" s="585"/>
    </row>
    <row r="171" spans="20:20" s="584" customFormat="1">
      <c r="T171" s="585"/>
    </row>
    <row r="172" spans="20:20" s="584" customFormat="1">
      <c r="T172" s="585"/>
    </row>
    <row r="173" spans="20:20" s="584" customFormat="1">
      <c r="T173" s="585"/>
    </row>
    <row r="174" spans="20:20" s="584" customFormat="1">
      <c r="T174" s="585"/>
    </row>
    <row r="175" spans="20:20" s="584" customFormat="1">
      <c r="T175" s="585"/>
    </row>
    <row r="176" spans="20:20" s="584" customFormat="1">
      <c r="T176" s="585"/>
    </row>
    <row r="177" spans="20:20" s="584" customFormat="1">
      <c r="T177" s="585"/>
    </row>
    <row r="178" spans="20:20" s="584" customFormat="1">
      <c r="T178" s="585"/>
    </row>
    <row r="179" spans="20:20" s="584" customFormat="1">
      <c r="T179" s="585"/>
    </row>
    <row r="180" spans="20:20" s="584" customFormat="1">
      <c r="T180" s="585"/>
    </row>
    <row r="181" spans="20:20" s="584" customFormat="1">
      <c r="T181" s="585"/>
    </row>
    <row r="182" spans="20:20" s="584" customFormat="1">
      <c r="T182" s="585"/>
    </row>
    <row r="183" spans="20:20" s="584" customFormat="1">
      <c r="T183" s="585"/>
    </row>
    <row r="184" spans="20:20" s="584" customFormat="1">
      <c r="T184" s="585"/>
    </row>
    <row r="185" spans="20:20" s="584" customFormat="1">
      <c r="T185" s="585"/>
    </row>
    <row r="186" spans="20:20" s="584" customFormat="1">
      <c r="T186" s="585"/>
    </row>
    <row r="187" spans="20:20" s="584" customFormat="1">
      <c r="T187" s="585"/>
    </row>
    <row r="188" spans="20:20" s="584" customFormat="1">
      <c r="T188" s="585"/>
    </row>
    <row r="189" spans="20:20" s="584" customFormat="1">
      <c r="T189" s="585"/>
    </row>
    <row r="190" spans="20:20" s="584" customFormat="1">
      <c r="T190" s="585"/>
    </row>
    <row r="191" spans="20:20" s="584" customFormat="1">
      <c r="T191" s="585"/>
    </row>
    <row r="192" spans="20:20" s="584" customFormat="1">
      <c r="T192" s="585"/>
    </row>
    <row r="193" spans="20:20" s="584" customFormat="1">
      <c r="T193" s="585"/>
    </row>
    <row r="194" spans="20:20" s="584" customFormat="1">
      <c r="T194" s="585"/>
    </row>
    <row r="195" spans="20:20" s="584" customFormat="1">
      <c r="T195" s="585"/>
    </row>
    <row r="196" spans="20:20" s="584" customFormat="1">
      <c r="T196" s="585"/>
    </row>
    <row r="197" spans="20:20" s="584" customFormat="1">
      <c r="T197" s="585"/>
    </row>
    <row r="198" spans="20:20" s="584" customFormat="1">
      <c r="T198" s="585"/>
    </row>
    <row r="199" spans="20:20" s="584" customFormat="1">
      <c r="T199" s="585"/>
    </row>
    <row r="200" spans="20:20" s="584" customFormat="1">
      <c r="T200" s="585"/>
    </row>
    <row r="201" spans="20:20" s="584" customFormat="1">
      <c r="T201" s="585"/>
    </row>
    <row r="202" spans="20:20" s="584" customFormat="1">
      <c r="T202" s="585"/>
    </row>
    <row r="203" spans="20:20" s="584" customFormat="1">
      <c r="T203" s="585"/>
    </row>
    <row r="204" spans="20:20" s="584" customFormat="1">
      <c r="T204" s="585"/>
    </row>
    <row r="205" spans="20:20" s="584" customFormat="1">
      <c r="T205" s="585"/>
    </row>
    <row r="206" spans="20:20" s="584" customFormat="1">
      <c r="T206" s="585"/>
    </row>
    <row r="207" spans="20:20" s="584" customFormat="1">
      <c r="T207" s="585"/>
    </row>
    <row r="208" spans="20:20" s="584" customFormat="1">
      <c r="T208" s="585"/>
    </row>
    <row r="209" spans="20:20" s="584" customFormat="1">
      <c r="T209" s="585"/>
    </row>
    <row r="210" spans="20:20" s="584" customFormat="1">
      <c r="T210" s="585"/>
    </row>
    <row r="211" spans="20:20" s="584" customFormat="1">
      <c r="T211" s="585"/>
    </row>
    <row r="212" spans="20:20" s="584" customFormat="1">
      <c r="T212" s="585"/>
    </row>
    <row r="213" spans="20:20" s="584" customFormat="1">
      <c r="T213" s="585"/>
    </row>
    <row r="214" spans="20:20" s="584" customFormat="1">
      <c r="T214" s="585"/>
    </row>
    <row r="215" spans="20:20" s="584" customFormat="1">
      <c r="T215" s="585"/>
    </row>
    <row r="216" spans="20:20" s="584" customFormat="1">
      <c r="T216" s="585"/>
    </row>
    <row r="217" spans="20:20" s="584" customFormat="1">
      <c r="T217" s="585"/>
    </row>
    <row r="218" spans="20:20" s="584" customFormat="1">
      <c r="T218" s="585"/>
    </row>
    <row r="219" spans="20:20" s="584" customFormat="1">
      <c r="T219" s="585"/>
    </row>
    <row r="220" spans="20:20" s="584" customFormat="1">
      <c r="T220" s="585"/>
    </row>
    <row r="221" spans="20:20" s="584" customFormat="1">
      <c r="T221" s="585"/>
    </row>
    <row r="222" spans="20:20" s="584" customFormat="1">
      <c r="T222" s="585"/>
    </row>
    <row r="223" spans="20:20" s="584" customFormat="1">
      <c r="T223" s="585"/>
    </row>
    <row r="224" spans="20:20" s="584" customFormat="1">
      <c r="T224" s="585"/>
    </row>
    <row r="225" spans="20:20" s="584" customFormat="1">
      <c r="T225" s="585"/>
    </row>
    <row r="226" spans="20:20" s="584" customFormat="1">
      <c r="T226" s="585"/>
    </row>
    <row r="227" spans="20:20" s="584" customFormat="1">
      <c r="T227" s="585"/>
    </row>
    <row r="228" spans="20:20" s="584" customFormat="1">
      <c r="T228" s="585"/>
    </row>
    <row r="229" spans="20:20" s="584" customFormat="1">
      <c r="T229" s="585"/>
    </row>
    <row r="230" spans="20:20" s="584" customFormat="1">
      <c r="T230" s="585"/>
    </row>
    <row r="231" spans="20:20" s="584" customFormat="1">
      <c r="T231" s="585"/>
    </row>
    <row r="232" spans="20:20" s="584" customFormat="1">
      <c r="T232" s="585"/>
    </row>
    <row r="233" spans="20:20" s="584" customFormat="1">
      <c r="T233" s="585"/>
    </row>
    <row r="234" spans="20:20" s="584" customFormat="1">
      <c r="T234" s="585"/>
    </row>
    <row r="235" spans="20:20" s="584" customFormat="1">
      <c r="T235" s="585"/>
    </row>
    <row r="236" spans="20:20" s="584" customFormat="1">
      <c r="T236" s="585"/>
    </row>
    <row r="237" spans="20:20" s="584" customFormat="1">
      <c r="T237" s="585"/>
    </row>
    <row r="238" spans="20:20" s="584" customFormat="1">
      <c r="T238" s="585"/>
    </row>
    <row r="239" spans="20:20" s="584" customFormat="1">
      <c r="T239" s="585"/>
    </row>
    <row r="240" spans="20:20" s="584" customFormat="1">
      <c r="T240" s="585"/>
    </row>
    <row r="241" spans="20:20" s="584" customFormat="1">
      <c r="T241" s="585"/>
    </row>
    <row r="242" spans="20:20" s="584" customFormat="1">
      <c r="T242" s="585"/>
    </row>
    <row r="243" spans="20:20" s="584" customFormat="1">
      <c r="T243" s="585"/>
    </row>
    <row r="244" spans="20:20" s="584" customFormat="1">
      <c r="T244" s="585"/>
    </row>
    <row r="245" spans="20:20" s="584" customFormat="1">
      <c r="T245" s="585"/>
    </row>
    <row r="246" spans="20:20" s="584" customFormat="1">
      <c r="T246" s="585"/>
    </row>
    <row r="247" spans="20:20" s="584" customFormat="1">
      <c r="T247" s="585"/>
    </row>
    <row r="248" spans="20:20" s="584" customFormat="1">
      <c r="T248" s="585"/>
    </row>
    <row r="249" spans="20:20" s="584" customFormat="1">
      <c r="T249" s="585"/>
    </row>
    <row r="250" spans="20:20" s="584" customFormat="1">
      <c r="T250" s="585"/>
    </row>
    <row r="251" spans="20:20" s="584" customFormat="1">
      <c r="T251" s="585"/>
    </row>
    <row r="252" spans="20:20" s="584" customFormat="1">
      <c r="T252" s="585"/>
    </row>
    <row r="253" spans="20:20" s="584" customFormat="1">
      <c r="T253" s="585"/>
    </row>
    <row r="254" spans="20:20" s="584" customFormat="1">
      <c r="T254" s="585"/>
    </row>
    <row r="255" spans="20:20" s="584" customFormat="1">
      <c r="T255" s="585"/>
    </row>
    <row r="256" spans="20:20" s="584" customFormat="1">
      <c r="T256" s="585"/>
    </row>
    <row r="257" spans="20:20" s="584" customFormat="1">
      <c r="T257" s="585"/>
    </row>
    <row r="258" spans="20:20" s="584" customFormat="1">
      <c r="T258" s="585"/>
    </row>
    <row r="259" spans="20:20" s="584" customFormat="1">
      <c r="T259" s="585"/>
    </row>
    <row r="260" spans="20:20" s="584" customFormat="1">
      <c r="T260" s="585"/>
    </row>
    <row r="261" spans="20:20" s="584" customFormat="1">
      <c r="T261" s="585"/>
    </row>
    <row r="262" spans="20:20" s="584" customFormat="1">
      <c r="T262" s="585"/>
    </row>
    <row r="263" spans="20:20" s="584" customFormat="1">
      <c r="T263" s="585"/>
    </row>
    <row r="264" spans="20:20" s="584" customFormat="1">
      <c r="T264" s="585"/>
    </row>
    <row r="265" spans="20:20" s="584" customFormat="1">
      <c r="T265" s="585"/>
    </row>
    <row r="266" spans="20:20" s="584" customFormat="1">
      <c r="T266" s="585"/>
    </row>
    <row r="267" spans="20:20" s="584" customFormat="1">
      <c r="T267" s="585"/>
    </row>
    <row r="268" spans="20:20" s="584" customFormat="1">
      <c r="T268" s="585"/>
    </row>
    <row r="269" spans="20:20" s="584" customFormat="1">
      <c r="T269" s="585"/>
    </row>
    <row r="270" spans="20:20" s="584" customFormat="1">
      <c r="T270" s="585"/>
    </row>
    <row r="271" spans="20:20" s="584" customFormat="1">
      <c r="T271" s="585"/>
    </row>
    <row r="272" spans="20:20" s="584" customFormat="1">
      <c r="T272" s="585"/>
    </row>
    <row r="273" spans="20:20" s="584" customFormat="1">
      <c r="T273" s="585"/>
    </row>
    <row r="274" spans="20:20" s="584" customFormat="1">
      <c r="T274" s="585"/>
    </row>
    <row r="275" spans="20:20" s="584" customFormat="1">
      <c r="T275" s="585"/>
    </row>
    <row r="276" spans="20:20" s="584" customFormat="1">
      <c r="T276" s="585"/>
    </row>
    <row r="277" spans="20:20" s="584" customFormat="1">
      <c r="T277" s="585"/>
    </row>
    <row r="278" spans="20:20" s="584" customFormat="1">
      <c r="T278" s="585"/>
    </row>
    <row r="279" spans="20:20" s="584" customFormat="1">
      <c r="T279" s="585"/>
    </row>
    <row r="280" spans="20:20" s="584" customFormat="1">
      <c r="T280" s="585"/>
    </row>
    <row r="281" spans="20:20" s="584" customFormat="1">
      <c r="T281" s="585"/>
    </row>
    <row r="282" spans="20:20" s="584" customFormat="1">
      <c r="T282" s="585"/>
    </row>
    <row r="283" spans="20:20" s="584" customFormat="1">
      <c r="T283" s="585"/>
    </row>
    <row r="284" spans="20:20" s="584" customFormat="1">
      <c r="T284" s="585"/>
    </row>
    <row r="285" spans="20:20" s="584" customFormat="1">
      <c r="T285" s="585"/>
    </row>
    <row r="286" spans="20:20" s="584" customFormat="1">
      <c r="T286" s="585"/>
    </row>
    <row r="287" spans="20:20" s="584" customFormat="1">
      <c r="T287" s="585"/>
    </row>
    <row r="288" spans="20:20" s="584" customFormat="1">
      <c r="T288" s="585"/>
    </row>
    <row r="289" spans="20:20" s="584" customFormat="1">
      <c r="T289" s="585"/>
    </row>
    <row r="290" spans="20:20" s="584" customFormat="1">
      <c r="T290" s="585"/>
    </row>
    <row r="291" spans="20:20" s="584" customFormat="1">
      <c r="T291" s="585"/>
    </row>
    <row r="292" spans="20:20" s="584" customFormat="1">
      <c r="T292" s="585"/>
    </row>
    <row r="293" spans="20:20" s="584" customFormat="1">
      <c r="T293" s="585"/>
    </row>
    <row r="294" spans="20:20" s="584" customFormat="1">
      <c r="T294" s="585"/>
    </row>
    <row r="295" spans="20:20" s="584" customFormat="1">
      <c r="T295" s="585"/>
    </row>
    <row r="296" spans="20:20" s="584" customFormat="1">
      <c r="T296" s="585"/>
    </row>
    <row r="297" spans="20:20" s="584" customFormat="1">
      <c r="T297" s="585"/>
    </row>
    <row r="298" spans="20:20" s="584" customFormat="1">
      <c r="T298" s="585"/>
    </row>
    <row r="299" spans="20:20" s="584" customFormat="1">
      <c r="T299" s="585"/>
    </row>
    <row r="300" spans="20:20" s="584" customFormat="1">
      <c r="T300" s="585"/>
    </row>
    <row r="301" spans="20:20" s="584" customFormat="1">
      <c r="T301" s="585"/>
    </row>
    <row r="302" spans="20:20" s="584" customFormat="1">
      <c r="T302" s="585"/>
    </row>
    <row r="303" spans="20:20" s="584" customFormat="1">
      <c r="T303" s="585"/>
    </row>
    <row r="304" spans="20:20" s="584" customFormat="1">
      <c r="T304" s="585"/>
    </row>
    <row r="305" spans="20:20" s="584" customFormat="1">
      <c r="T305" s="585"/>
    </row>
    <row r="306" spans="20:20" s="584" customFormat="1">
      <c r="T306" s="585"/>
    </row>
    <row r="307" spans="20:20" s="584" customFormat="1">
      <c r="T307" s="585"/>
    </row>
    <row r="308" spans="20:20" s="584" customFormat="1">
      <c r="T308" s="585"/>
    </row>
    <row r="309" spans="20:20" s="584" customFormat="1">
      <c r="T309" s="585"/>
    </row>
    <row r="310" spans="20:20" s="584" customFormat="1">
      <c r="T310" s="585"/>
    </row>
    <row r="311" spans="20:20" s="584" customFormat="1">
      <c r="T311" s="585"/>
    </row>
    <row r="312" spans="20:20" s="584" customFormat="1">
      <c r="T312" s="585"/>
    </row>
    <row r="313" spans="20:20" s="584" customFormat="1">
      <c r="T313" s="585"/>
    </row>
    <row r="314" spans="20:20" s="584" customFormat="1">
      <c r="T314" s="585"/>
    </row>
    <row r="315" spans="20:20" s="584" customFormat="1">
      <c r="T315" s="585"/>
    </row>
    <row r="316" spans="20:20" s="584" customFormat="1">
      <c r="T316" s="585"/>
    </row>
    <row r="317" spans="20:20" s="584" customFormat="1">
      <c r="T317" s="585"/>
    </row>
    <row r="318" spans="20:20" s="584" customFormat="1">
      <c r="T318" s="585"/>
    </row>
    <row r="319" spans="20:20" s="584" customFormat="1">
      <c r="T319" s="585"/>
    </row>
    <row r="320" spans="20:20" s="584" customFormat="1">
      <c r="T320" s="585"/>
    </row>
    <row r="321" spans="20:20" s="584" customFormat="1">
      <c r="T321" s="585"/>
    </row>
    <row r="322" spans="20:20" s="584" customFormat="1">
      <c r="T322" s="585"/>
    </row>
    <row r="323" spans="20:20" s="584" customFormat="1">
      <c r="T323" s="585"/>
    </row>
    <row r="324" spans="20:20" s="584" customFormat="1">
      <c r="T324" s="585"/>
    </row>
    <row r="325" spans="20:20" s="584" customFormat="1">
      <c r="T325" s="585"/>
    </row>
    <row r="326" spans="20:20" s="584" customFormat="1">
      <c r="T326" s="585"/>
    </row>
    <row r="327" spans="20:20" s="584" customFormat="1">
      <c r="T327" s="585"/>
    </row>
    <row r="328" spans="20:20" s="584" customFormat="1">
      <c r="T328" s="585"/>
    </row>
    <row r="329" spans="20:20" s="584" customFormat="1">
      <c r="T329" s="585"/>
    </row>
    <row r="330" spans="20:20" s="584" customFormat="1">
      <c r="T330" s="585"/>
    </row>
    <row r="331" spans="20:20" s="584" customFormat="1">
      <c r="T331" s="585"/>
    </row>
    <row r="332" spans="20:20" s="584" customFormat="1">
      <c r="T332" s="585"/>
    </row>
    <row r="333" spans="20:20" s="584" customFormat="1">
      <c r="T333" s="585"/>
    </row>
    <row r="334" spans="20:20" s="584" customFormat="1">
      <c r="T334" s="585"/>
    </row>
    <row r="335" spans="20:20" s="584" customFormat="1">
      <c r="T335" s="585"/>
    </row>
    <row r="336" spans="20:20" s="584" customFormat="1">
      <c r="T336" s="585"/>
    </row>
    <row r="337" spans="20:20" s="584" customFormat="1">
      <c r="T337" s="585"/>
    </row>
    <row r="338" spans="20:20" s="584" customFormat="1">
      <c r="T338" s="585"/>
    </row>
    <row r="339" spans="20:20" s="584" customFormat="1">
      <c r="T339" s="585"/>
    </row>
    <row r="340" spans="20:20" s="584" customFormat="1">
      <c r="T340" s="585"/>
    </row>
    <row r="341" spans="20:20" s="584" customFormat="1">
      <c r="T341" s="585"/>
    </row>
    <row r="342" spans="20:20" s="584" customFormat="1">
      <c r="T342" s="585"/>
    </row>
    <row r="343" spans="20:20" s="584" customFormat="1">
      <c r="T343" s="585"/>
    </row>
    <row r="344" spans="20:20" s="584" customFormat="1">
      <c r="T344" s="585"/>
    </row>
    <row r="345" spans="20:20" s="584" customFormat="1">
      <c r="T345" s="585"/>
    </row>
  </sheetData>
  <sortState xmlns:xlrd2="http://schemas.microsoft.com/office/spreadsheetml/2017/richdata2" ref="S44:U68">
    <sortCondition ref="T43:T68"/>
  </sortState>
  <mergeCells count="7">
    <mergeCell ref="D3:G3"/>
    <mergeCell ref="D2:G2"/>
    <mergeCell ref="D135:G135"/>
    <mergeCell ref="D136:G136"/>
    <mergeCell ref="D127:G127"/>
    <mergeCell ref="D128:G128"/>
    <mergeCell ref="D129:G129"/>
  </mergeCells>
  <hyperlinks>
    <hyperlink ref="B1" r:id="rId1" xr:uid="{00000000-0004-0000-0C00-000000000000}"/>
  </hyperlinks>
  <pageMargins left="0.70866141732283472" right="0.70866141732283472" top="0.78740157480314965" bottom="0.78740157480314965" header="0.31496062992125984" footer="0.31496062992125984"/>
  <pageSetup paperSize="9" scale="92"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R48"/>
  <sheetViews>
    <sheetView zoomScaleNormal="100" workbookViewId="0">
      <selection activeCell="B3" sqref="B3"/>
    </sheetView>
  </sheetViews>
  <sheetFormatPr baseColWidth="10" defaultColWidth="11.42578125" defaultRowHeight="15"/>
  <cols>
    <col min="1" max="1" width="11.42578125" style="61" customWidth="1"/>
    <col min="2" max="2" width="6.5703125" style="61" bestFit="1" customWidth="1"/>
    <col min="3" max="3" width="3.85546875" style="425" customWidth="1"/>
    <col min="4" max="4" width="16.5703125" style="61" customWidth="1"/>
    <col min="5" max="5" width="21.28515625" style="61" customWidth="1"/>
    <col min="6" max="6" width="8.7109375" style="61" customWidth="1"/>
    <col min="7" max="7" width="11.42578125" style="61"/>
    <col min="8" max="8" width="10.85546875" style="61" customWidth="1"/>
    <col min="9" max="9" width="11.7109375" style="61" customWidth="1"/>
    <col min="10" max="10" width="5.85546875" style="61" customWidth="1"/>
    <col min="11" max="11" width="9.85546875" style="61" customWidth="1"/>
    <col min="12" max="12" width="12.42578125" style="61" hidden="1" customWidth="1"/>
    <col min="13" max="13" width="19.7109375" style="61" customWidth="1"/>
    <col min="14" max="14" width="2.28515625" style="425" customWidth="1"/>
    <col min="15" max="15" width="2.85546875" style="425" customWidth="1"/>
    <col min="16" max="16384" width="11.42578125" style="61"/>
  </cols>
  <sheetData>
    <row r="1" spans="2:18" s="425" customFormat="1"/>
    <row r="2" spans="2:18" s="425" customFormat="1" ht="45" customHeight="1">
      <c r="D2" s="712" t="str">
        <f ca="1">"Anteil Österreichs an "&amp;_xll.PALO.DATA("jedoxtest/EU_PM_CUBE02","#_Datenstand","frameworkprog_long",AT_ExSc_Datenstand)&amp;" in "&amp;$R$3</f>
        <v>Anteil Österreichs an Horizon Europe in Widening Participation and Strengthening the ERA</v>
      </c>
      <c r="E2" s="712"/>
      <c r="F2" s="713"/>
      <c r="G2" s="713"/>
      <c r="H2" s="713"/>
      <c r="I2" s="713"/>
      <c r="J2" s="713"/>
      <c r="K2" s="713"/>
      <c r="L2" s="713"/>
      <c r="M2" s="713"/>
      <c r="N2" s="713"/>
    </row>
    <row r="3" spans="2:18" s="425" customFormat="1" ht="18.75">
      <c r="D3" s="51"/>
      <c r="E3" s="51"/>
      <c r="F3" s="52"/>
      <c r="G3" s="52"/>
      <c r="H3" s="441"/>
      <c r="I3" s="441"/>
      <c r="J3" s="435"/>
      <c r="K3" s="435"/>
      <c r="L3" s="435"/>
      <c r="M3" s="435"/>
      <c r="N3" s="435"/>
      <c r="O3" s="40"/>
      <c r="P3" s="40"/>
      <c r="R3" s="68" t="s">
        <v>238</v>
      </c>
    </row>
    <row r="4" spans="2:18" s="425" customFormat="1">
      <c r="E4" s="716"/>
      <c r="F4" s="716"/>
      <c r="G4" s="716"/>
      <c r="H4" s="717"/>
      <c r="I4" s="717"/>
      <c r="J4" s="717"/>
      <c r="K4" s="717"/>
      <c r="L4" s="717"/>
      <c r="M4" s="717"/>
      <c r="N4" s="40"/>
      <c r="O4" s="40"/>
      <c r="P4" s="40"/>
    </row>
    <row r="5" spans="2:18" s="425" customFormat="1">
      <c r="E5" s="716" t="s">
        <v>20</v>
      </c>
      <c r="F5" s="716"/>
      <c r="G5" s="716"/>
      <c r="H5" s="717" t="s">
        <v>19</v>
      </c>
      <c r="I5" s="717"/>
      <c r="J5" s="717"/>
      <c r="K5" s="717" t="s">
        <v>18</v>
      </c>
      <c r="L5" s="717"/>
      <c r="M5" s="717"/>
      <c r="N5" s="40"/>
      <c r="O5" s="40"/>
      <c r="P5" s="40"/>
    </row>
    <row r="6" spans="2:18" s="425" customFormat="1">
      <c r="D6" s="54"/>
      <c r="E6" s="55" t="s">
        <v>17</v>
      </c>
      <c r="F6" s="55" t="s">
        <v>16</v>
      </c>
      <c r="G6" s="55" t="s">
        <v>15</v>
      </c>
      <c r="H6" s="436" t="s">
        <v>17</v>
      </c>
      <c r="I6" s="436" t="s">
        <v>16</v>
      </c>
      <c r="J6" s="436" t="s">
        <v>15</v>
      </c>
      <c r="K6" s="436" t="s">
        <v>17</v>
      </c>
      <c r="L6" s="436" t="s">
        <v>16</v>
      </c>
      <c r="M6" s="437" t="s">
        <v>15</v>
      </c>
      <c r="N6" s="40"/>
      <c r="O6" s="40"/>
      <c r="P6" s="40"/>
    </row>
    <row r="7" spans="2:18" s="425" customFormat="1">
      <c r="B7">
        <v>6167</v>
      </c>
      <c r="D7" s="54" t="str">
        <f ca="1">_xll.PALO.DATA("jedoxtest/EU_PM_CUBE02","#_Programme","Langbezeichnung",$B7)</f>
        <v>Widening participation and spreading excellence</v>
      </c>
      <c r="E7" s="56">
        <f ca="1">H7/$K7</f>
        <v>2.0148791072535647E-2</v>
      </c>
      <c r="F7" s="56">
        <f ca="1">I7/$L7</f>
        <v>8.4124350797668244E-3</v>
      </c>
      <c r="G7" s="444">
        <f ca="1">J7/$M7</f>
        <v>1.4301430143014302E-2</v>
      </c>
      <c r="H7" s="438">
        <f ca="1">_xll.PALO.DATAC("jedoxtest/EU_PM_CUBE02","EUPM_Mittel2_Cube",AT_ExSc_Datenstand,"Alle Beteiligungen","Alle Koordinatoren","Alle Unternehmensgrößen","-2","Alle Organisationstypen",28,"Alle Expertevaluierungsstatus",$B7,"-2",1,"-2","Alle","-2","anzahl_beteiligungen")</f>
        <v>65</v>
      </c>
      <c r="I7" s="439">
        <f ca="1">_xll.PALO.DATAC("jedoxtest/EU_PM_CUBE02","EUPM_Mittel2_Cube",AT_ExSc_Datenstand,"Alle Beteiligungen","Alle Koordinatoren","Alle Unternehmensgrößen","-2","Alle Organisationstypen",28,"Alle Expertevaluierungsstatus",$B7,"-2",1,"-2","Alle","-2","foerderung")/1000000</f>
        <v>13.48491076</v>
      </c>
      <c r="J7" s="438">
        <f ca="1">_xll.PALO.DATAC("jedoxtest/EU_PM_CUBE02","EUPM_Mittel2_Cube",AT_ExSc_Datenstand,"Alle Beteiligungen","Alle Koordinatoren","Alle Unternehmensgrößen","-2","Alle Organisationstypen",28,"Alle Expertevaluierungsstatus",$B7,"-2",1,"-2","Alle","-2","anzahl_koordinatoren")</f>
        <v>13</v>
      </c>
      <c r="K7" s="438">
        <f ca="1">_xll.PALO.DATAC("jedoxtest/EU_PM_CUBE02","EUPM_Mittel2_Cube",AT_ExSc_Datenstand,"Alle Beteiligungen","Alle Koordinatoren","Alle Unternehmensgrößen","-2","Alle Organisationstypen",28,"Alle Expertevaluierungsstatus",$B7,"-2",-2,"-2","Alle","-2","anzahl_beteiligungen")</f>
        <v>3226</v>
      </c>
      <c r="L7" s="439">
        <f ca="1">_xll.PALO.DATAC("jedoxtest/EU_PM_CUBE02","EUPM_Mittel2_Cube",AT_ExSc_Datenstand,"Alle Beteiligungen","Alle Koordinatoren","Alle Unternehmensgrößen","-2","Alle Organisationstypen",28,"Alle Expertevaluierungsstatus",$B7,"-2","-2","-2","Alle","-2","foerderung")/1000000</f>
        <v>1602.97353051</v>
      </c>
      <c r="M7" s="438">
        <f ca="1">_xll.PALO.DATAC("jedoxtest/EU_PM_CUBE02","EUPM_Mittel2_Cube",AT_ExSc_Datenstand,"Alle Beteiligungen","Alle Koordinatoren","Alle Unternehmensgrößen","-2","Alle Organisationstypen",28,"Alle Expertevaluierungsstatus",$B7,"-2",-2,"-2","Alle","-2","anzahl_koordinatoren")</f>
        <v>909</v>
      </c>
      <c r="N7" s="40"/>
      <c r="O7" s="40"/>
      <c r="P7" s="40"/>
    </row>
    <row r="8" spans="2:18" s="425" customFormat="1">
      <c r="B8">
        <v>6168</v>
      </c>
      <c r="D8" s="54" t="str">
        <f ca="1">_xll.PALO.DATA("jedoxtest/EU_PM_CUBE02","#_Programme","Langbezeichnung",$B8)</f>
        <v>Reforming and enhancing the European R&amp;I System</v>
      </c>
      <c r="E8" s="56">
        <f ca="1">H8/$K8</f>
        <v>2.7709359605911331E-2</v>
      </c>
      <c r="F8" s="56">
        <f ca="1">I8/$L8</f>
        <v>4.602640237269149E-2</v>
      </c>
      <c r="G8" s="444">
        <f ca="1">J8/$M8</f>
        <v>3.4482758620689655E-2</v>
      </c>
      <c r="H8" s="438">
        <f ca="1">_xll.PALO.DATAC("jedoxtest/EU_PM_CUBE02","EUPM_Mittel2_Cube",AT_ExSc_Datenstand,"Alle Beteiligungen","Alle Koordinatoren","Alle Unternehmensgrößen","-2","Alle Organisationstypen",28,"Alle Expertevaluierungsstatus",$B8,"-2",1,"-2","Alle","-2","anzahl_beteiligungen")</f>
        <v>45</v>
      </c>
      <c r="I8" s="439">
        <f ca="1">_xll.PALO.DATAC("jedoxtest/EU_PM_CUBE02","EUPM_Mittel2_Cube",AT_ExSc_Datenstand,"Alle Beteiligungen","Alle Koordinatoren","Alle Unternehmensgrößen","-2","Alle Organisationstypen",28,"Alle Expertevaluierungsstatus",$B8,"-2",1,"-2","Alle","-2","foerderung")/1000000</f>
        <v>13.17090793</v>
      </c>
      <c r="J8" s="438">
        <f ca="1">_xll.PALO.DATAC("jedoxtest/EU_PM_CUBE02","EUPM_Mittel2_Cube",AT_ExSc_Datenstand,"Alle Beteiligungen","Alle Koordinatoren","Alle Unternehmensgrößen","-2","Alle Organisationstypen",28,"Alle Expertevaluierungsstatus",$B8,"-2",1,"-2","Alle","-2","anzahl_koordinatoren")</f>
        <v>5</v>
      </c>
      <c r="K8" s="438">
        <f ca="1">_xll.PALO.DATAC("jedoxtest/EU_PM_CUBE02","EUPM_Mittel2_Cube",AT_ExSc_Datenstand,"Alle Beteiligungen","Alle Koordinatoren","Alle Unternehmensgrößen","-2","Alle Organisationstypen",28,"Alle Expertevaluierungsstatus",$B8,"-2",-2,"-2","Alle","-2","anzahl_beteiligungen")</f>
        <v>1624</v>
      </c>
      <c r="L8" s="439">
        <f ca="1">_xll.PALO.DATAC("jedoxtest/EU_PM_CUBE02","EUPM_Mittel2_Cube",AT_ExSc_Datenstand,"Alle Beteiligungen","Alle Koordinatoren","Alle Unternehmensgrößen","-2","Alle Organisationstypen",28,"Alle Expertevaluierungsstatus",$B8,"-2","-2","-2","Alle","-2","foerderung")/1000000</f>
        <v>286.15983980999999</v>
      </c>
      <c r="M8" s="438">
        <f ca="1">_xll.PALO.DATAC("jedoxtest/EU_PM_CUBE02","EUPM_Mittel2_Cube",AT_ExSc_Datenstand,"Alle Beteiligungen","Alle Koordinatoren","Alle Unternehmensgrößen","-2","Alle Organisationstypen",28,"Alle Expertevaluierungsstatus",$B8,"-2",-2,"-2","Alle","-2","anzahl_koordinatoren")</f>
        <v>145</v>
      </c>
      <c r="N8" s="40"/>
      <c r="O8" s="40"/>
      <c r="P8" s="40"/>
    </row>
    <row r="9" spans="2:18" s="425" customFormat="1">
      <c r="H9" s="40"/>
      <c r="I9" s="40"/>
      <c r="J9" s="40"/>
      <c r="K9" s="40"/>
      <c r="L9" s="40"/>
      <c r="M9" s="40"/>
      <c r="N9" s="40"/>
      <c r="O9" s="40"/>
      <c r="P9" s="40"/>
    </row>
    <row r="10" spans="2:18" s="425" customFormat="1">
      <c r="B10">
        <v>6154</v>
      </c>
      <c r="D10" s="54" t="str">
        <f ca="1">_xll.PALO.DATA("jedoxtest/EU_PM_CUBE02","#_Programme","Langbezeichnung",$B10)</f>
        <v>Widening Participation and Strengthening the European Research Area</v>
      </c>
      <c r="E10" s="56">
        <f ca="1">H10/$K10</f>
        <v>2.268041237113402E-2</v>
      </c>
      <c r="F10" s="56">
        <f ca="1">I10/$L10</f>
        <v>1.4110077726002359E-2</v>
      </c>
      <c r="G10" s="444">
        <f ca="1">J10/$M10</f>
        <v>1.7077798861480076E-2</v>
      </c>
      <c r="H10" s="438">
        <f ca="1">_xll.PALO.DATAC("jedoxtest/EU_PM_CUBE02","EUPM_Mittel2_Cube",AT_ExSc_Datenstand,"Alle Beteiligungen","Alle Koordinatoren","Alle Unternehmensgrößen","-2","Alle Organisationstypen",28,"Alle Expertevaluierungsstatus",$B10,"-2",1,"-2","Alle","-2","anzahl_beteiligungen")</f>
        <v>110</v>
      </c>
      <c r="I10" s="439">
        <f ca="1">_xll.PALO.DATAC("jedoxtest/EU_PM_CUBE02","EUPM_Mittel2_Cube",AT_ExSc_Datenstand,"Alle Beteiligungen","Alle Koordinatoren","Alle Unternehmensgrößen","-2","Alle Organisationstypen",28,"Alle Expertevaluierungsstatus",$B10,"-2",1,"-2","Alle","-2","foerderung")/1000000</f>
        <v>26.65581869</v>
      </c>
      <c r="J10" s="438">
        <f ca="1">_xll.PALO.DATAC("jedoxtest/EU_PM_CUBE02","EUPM_Mittel2_Cube",AT_ExSc_Datenstand,"Alle Beteiligungen","Alle Koordinatoren","Alle Unternehmensgrößen","-2","Alle Organisationstypen",28,"Alle Expertevaluierungsstatus",$B10,"-2",1,"-2","Alle","-2","anzahl_koordinatoren")</f>
        <v>18</v>
      </c>
      <c r="K10" s="438">
        <f ca="1">_xll.PALO.DATAC("jedoxtest/EU_PM_CUBE02","EUPM_Mittel2_Cube",AT_ExSc_Datenstand,"Alle Beteiligungen","Alle Koordinatoren","Alle Unternehmensgrößen","-2","Alle Organisationstypen",28,"Alle Expertevaluierungsstatus",$B10,"-2",-2,"-2","Alle","-2","anzahl_beteiligungen")</f>
        <v>4850</v>
      </c>
      <c r="L10" s="439">
        <f ca="1">_xll.PALO.DATAC("jedoxtest/EU_PM_CUBE02","EUPM_Mittel2_Cube",AT_ExSc_Datenstand,"Alle Beteiligungen","Alle Koordinatoren","Alle Unternehmensgrößen","-2","Alle Organisationstypen",28,"Alle Expertevaluierungsstatus",$B10,"-2","-2","-2","Alle","-2","foerderung")/1000000</f>
        <v>1889.13337032</v>
      </c>
      <c r="M10" s="438">
        <f ca="1">_xll.PALO.DATAC("jedoxtest/EU_PM_CUBE02","EUPM_Mittel2_Cube",AT_ExSc_Datenstand,"Alle Beteiligungen","Alle Koordinatoren","Alle Unternehmensgrößen","-2","Alle Organisationstypen",28,"Alle Expertevaluierungsstatus",$B10,"-2",-2,"-2","Alle","-2","anzahl_koordinatoren")</f>
        <v>1054</v>
      </c>
      <c r="N10" s="40"/>
      <c r="O10" s="40"/>
      <c r="P10" s="40"/>
    </row>
    <row r="11" spans="2:18" s="425" customFormat="1">
      <c r="H11" s="40"/>
      <c r="I11" s="40"/>
      <c r="J11" s="40"/>
      <c r="K11" s="40"/>
      <c r="L11" s="40"/>
      <c r="M11" s="40"/>
      <c r="N11" s="40"/>
      <c r="O11" s="40"/>
      <c r="P11" s="40"/>
    </row>
    <row r="12" spans="2:18" s="425" customFormat="1">
      <c r="H12" s="40"/>
      <c r="I12" s="40"/>
      <c r="J12" s="40"/>
      <c r="K12" s="40"/>
      <c r="L12" s="40"/>
      <c r="M12" s="40"/>
      <c r="N12" s="40"/>
      <c r="O12" s="40"/>
      <c r="P12" s="40"/>
    </row>
    <row r="13" spans="2:18" s="425" customFormat="1">
      <c r="H13" s="40"/>
      <c r="I13" s="40"/>
      <c r="J13" s="40"/>
      <c r="K13" s="40"/>
      <c r="L13" s="40"/>
      <c r="M13" s="40"/>
      <c r="N13" s="40"/>
      <c r="O13" s="40"/>
      <c r="P13" s="40"/>
    </row>
    <row r="14" spans="2:18" s="425" customFormat="1">
      <c r="H14" s="40"/>
      <c r="I14" s="40"/>
      <c r="J14" s="40"/>
      <c r="K14" s="40"/>
      <c r="L14" s="40"/>
      <c r="M14" s="40"/>
      <c r="N14" s="40"/>
      <c r="O14" s="40"/>
      <c r="P14" s="40"/>
    </row>
    <row r="15" spans="2:18" s="425" customFormat="1">
      <c r="H15" s="40"/>
      <c r="I15" s="40"/>
      <c r="J15" s="40"/>
      <c r="K15" s="40"/>
      <c r="L15" s="40"/>
      <c r="M15" s="40"/>
      <c r="N15" s="40"/>
      <c r="O15" s="40"/>
      <c r="P15" s="40"/>
    </row>
    <row r="16" spans="2:18" s="425" customFormat="1">
      <c r="H16" s="40"/>
      <c r="I16" s="40"/>
      <c r="J16" s="40"/>
      <c r="K16" s="40"/>
      <c r="L16" s="40"/>
      <c r="M16" s="40"/>
      <c r="N16" s="40"/>
      <c r="O16" s="40"/>
      <c r="P16" s="40"/>
    </row>
    <row r="17" spans="2:16" s="425" customFormat="1">
      <c r="H17" s="40"/>
      <c r="I17" s="40"/>
      <c r="J17" s="40"/>
      <c r="K17" s="40"/>
      <c r="L17" s="40"/>
      <c r="M17" s="40"/>
      <c r="N17" s="40"/>
      <c r="O17" s="40"/>
      <c r="P17" s="40"/>
    </row>
    <row r="18" spans="2:16" s="425" customFormat="1">
      <c r="H18" s="40"/>
      <c r="I18" s="40"/>
      <c r="J18" s="40"/>
      <c r="K18" s="40"/>
      <c r="L18" s="40"/>
      <c r="M18" s="40"/>
      <c r="N18" s="40"/>
      <c r="O18" s="40"/>
      <c r="P18" s="40"/>
    </row>
    <row r="19" spans="2:16" s="425" customFormat="1">
      <c r="H19" s="40"/>
      <c r="I19" s="40"/>
      <c r="J19" s="40"/>
      <c r="K19" s="40"/>
      <c r="L19" s="40"/>
      <c r="M19" s="40"/>
      <c r="N19" s="40"/>
      <c r="O19" s="40"/>
      <c r="P19" s="40"/>
    </row>
    <row r="20" spans="2:16" s="425" customFormat="1"/>
    <row r="21" spans="2:16" s="425" customFormat="1"/>
    <row r="22" spans="2:16" s="425" customFormat="1">
      <c r="D22" s="718"/>
      <c r="E22" s="718"/>
      <c r="F22" s="718"/>
      <c r="G22" s="718"/>
      <c r="H22" s="718"/>
      <c r="I22" s="718"/>
      <c r="J22" s="718"/>
      <c r="K22" s="718"/>
      <c r="L22" s="718"/>
      <c r="M22" s="718"/>
    </row>
    <row r="23" spans="2:16" s="425" customFormat="1">
      <c r="D23" s="55"/>
      <c r="E23" s="55"/>
      <c r="F23" s="55"/>
      <c r="G23" s="55"/>
      <c r="H23" s="55"/>
      <c r="I23" s="55"/>
    </row>
    <row r="24" spans="2:16" s="425" customFormat="1" ht="21">
      <c r="D24" s="713" t="s">
        <v>272</v>
      </c>
      <c r="E24" s="713"/>
      <c r="F24" s="713"/>
      <c r="G24" s="713"/>
      <c r="H24" s="713"/>
      <c r="I24" s="713"/>
      <c r="J24" s="713"/>
      <c r="K24" s="713"/>
      <c r="L24" s="713"/>
      <c r="M24" s="713"/>
      <c r="N24" s="713"/>
    </row>
    <row r="25" spans="2:16" s="425" customFormat="1" ht="18.75">
      <c r="D25" s="60"/>
      <c r="E25" s="60"/>
      <c r="F25" s="60"/>
      <c r="G25" s="60"/>
      <c r="H25" s="60"/>
      <c r="I25" s="60"/>
      <c r="J25" s="60"/>
      <c r="K25" s="60"/>
      <c r="L25" s="60"/>
      <c r="M25" s="53"/>
      <c r="N25" s="53"/>
    </row>
    <row r="26" spans="2:16" s="425" customFormat="1" ht="18.75">
      <c r="B26">
        <v>6167</v>
      </c>
      <c r="D26" s="54" t="str">
        <f ca="1">_xll.PALO.DATA("jedoxtest/EU_PM_CUBE02","#_Programme","Langbezeichnung",$B26)</f>
        <v>Widening participation and spreading excellence</v>
      </c>
      <c r="E26" s="58">
        <f ca="1">_xll.PALO.DATAC("jedoxtest/EU_PM_CUBE02","EUPM_Mittel2_Cube",AT_ExSc_Datenstand,"Alle Beteiligungen","Alle Koordinatoren","Alle Unternehmensgrößen","-2","Alle Organisationstypen",28,"Alle Expertevaluierungsstatus",$B26,"-2","-2","-2","Alle","-2","foerderung")/1000000</f>
        <v>1602.97353051</v>
      </c>
      <c r="F26" s="60"/>
      <c r="G26" s="60"/>
      <c r="H26" s="60"/>
      <c r="I26" s="60"/>
      <c r="J26" s="60"/>
      <c r="K26" s="60"/>
      <c r="L26" s="60"/>
      <c r="M26" s="53"/>
      <c r="N26" s="53"/>
    </row>
    <row r="27" spans="2:16" s="425" customFormat="1" ht="18.75">
      <c r="B27">
        <v>6168</v>
      </c>
      <c r="D27" s="54" t="str">
        <f ca="1">_xll.PALO.DATA("jedoxtest/EU_PM_CUBE02","#_Programme","Langbezeichnung",$B27)</f>
        <v>Reforming and enhancing the European R&amp;I System</v>
      </c>
      <c r="E27" s="58">
        <f ca="1">_xll.PALO.DATAC("jedoxtest/EU_PM_CUBE02","EUPM_Mittel2_Cube",AT_ExSc_Datenstand,"Alle Beteiligungen","Alle Koordinatoren","Alle Unternehmensgrößen","-2","Alle Organisationstypen",28,"Alle Expertevaluierungsstatus",$B27,"-2","-2","-2","Alle","-2","foerderung")/1000000</f>
        <v>286.15983980999999</v>
      </c>
      <c r="F27" s="60"/>
      <c r="G27" s="60"/>
      <c r="H27" s="60"/>
      <c r="I27" s="60"/>
      <c r="J27" s="60"/>
      <c r="K27" s="60"/>
      <c r="L27" s="60"/>
      <c r="M27" s="53"/>
      <c r="N27" s="53"/>
    </row>
    <row r="28" spans="2:16" s="425" customFormat="1" ht="18.75">
      <c r="D28" s="54"/>
      <c r="E28" s="58"/>
      <c r="F28" s="60"/>
      <c r="G28" s="60"/>
      <c r="H28" s="60"/>
      <c r="I28" s="60"/>
      <c r="J28" s="60"/>
      <c r="K28" s="60"/>
      <c r="L28" s="60"/>
      <c r="M28" s="53"/>
      <c r="N28" s="53"/>
    </row>
    <row r="29" spans="2:16" s="425" customFormat="1" ht="78" customHeight="1">
      <c r="B29">
        <v>6154</v>
      </c>
      <c r="D29" s="54" t="str">
        <f ca="1">_xll.PALO.DATA("jedoxtest/EU_PM_CUBE02","#_Programme","Langbezeichnung",$B29)</f>
        <v>Widening Participation and Strengthening the European Research Area</v>
      </c>
      <c r="E29" s="58">
        <f ca="1">_xll.PALO.DATAC("jedoxtest/EU_PM_CUBE02","EUPM_Mittel2_Cube",AT_ExSc_Datenstand,"Alle Beteiligungen","Alle Koordinatoren","Alle Unternehmensgrößen","-2","Alle Organisationstypen",28,"Alle Expertevaluierungsstatus",$B29,"-2","-2","-2","Alle","-2","foerderung")/1000000</f>
        <v>1889.13337032</v>
      </c>
      <c r="F29" s="60"/>
      <c r="G29" s="60"/>
      <c r="H29" s="60"/>
      <c r="I29" s="60"/>
      <c r="J29" s="60"/>
      <c r="K29" s="60"/>
      <c r="L29" s="60"/>
      <c r="M29" s="53"/>
      <c r="N29" s="53"/>
    </row>
    <row r="30" spans="2:16" s="425" customFormat="1">
      <c r="D30" s="60"/>
      <c r="E30" s="60"/>
      <c r="F30" s="60"/>
      <c r="G30" s="60"/>
      <c r="H30" s="60"/>
      <c r="I30" s="60"/>
      <c r="J30" s="60"/>
      <c r="K30" s="60"/>
      <c r="L30" s="60"/>
    </row>
    <row r="31" spans="2:16" s="425" customFormat="1">
      <c r="D31" s="60"/>
      <c r="E31" s="60"/>
      <c r="F31" s="60"/>
      <c r="G31" s="60"/>
      <c r="H31" s="60"/>
      <c r="I31" s="60"/>
      <c r="J31" s="60"/>
      <c r="K31" s="60"/>
      <c r="L31" s="60"/>
    </row>
    <row r="32" spans="2:16" s="425" customFormat="1">
      <c r="D32" s="718"/>
      <c r="E32" s="718"/>
      <c r="F32" s="718"/>
      <c r="G32" s="718"/>
      <c r="H32" s="718"/>
      <c r="I32" s="718"/>
      <c r="J32" s="718"/>
      <c r="K32" s="718"/>
      <c r="L32" s="718"/>
      <c r="M32" s="718"/>
    </row>
    <row r="33" spans="1:15" s="425" customFormat="1" ht="31.5" customHeight="1"/>
    <row r="34" spans="1:15" s="425" customFormat="1" ht="21">
      <c r="D34" s="713" t="str">
        <f ca="1">"Österreich in "&amp;$D$10</f>
        <v>Österreich in Widening Participation and Strengthening the European Research Area</v>
      </c>
      <c r="E34" s="713"/>
      <c r="F34" s="713"/>
      <c r="G34" s="713"/>
      <c r="H34" s="713"/>
      <c r="I34" s="713"/>
      <c r="J34" s="713"/>
      <c r="K34" s="713"/>
      <c r="L34" s="713"/>
      <c r="M34" s="713"/>
      <c r="N34" s="713"/>
    </row>
    <row r="35" spans="1:15" s="425" customFormat="1" ht="18.75" hidden="1">
      <c r="D35" s="52"/>
      <c r="E35" s="52"/>
      <c r="F35" s="52"/>
      <c r="G35" s="52"/>
      <c r="H35" s="52"/>
      <c r="I35" s="52"/>
      <c r="J35" s="53"/>
      <c r="K35" s="53"/>
      <c r="L35" s="53"/>
      <c r="M35" s="53"/>
      <c r="N35" s="53"/>
    </row>
    <row r="36" spans="1:15" hidden="1">
      <c r="D36" s="39"/>
      <c r="E36" s="39"/>
      <c r="F36" s="39" t="s">
        <v>57</v>
      </c>
      <c r="G36" s="39"/>
      <c r="H36" s="39" t="s">
        <v>59</v>
      </c>
      <c r="I36" s="39"/>
      <c r="J36" s="39" t="s">
        <v>58</v>
      </c>
      <c r="K36" s="39"/>
      <c r="L36" s="39"/>
      <c r="M36" s="39"/>
    </row>
    <row r="37" spans="1:15" ht="37.5" customHeight="1">
      <c r="A37" s="425"/>
      <c r="B37" s="425"/>
      <c r="D37" s="118"/>
      <c r="E37" s="118"/>
      <c r="F37" s="714" t="str">
        <f>UPPER("Beteiligungen")</f>
        <v>BETEILIGUNGEN</v>
      </c>
      <c r="G37" s="714"/>
      <c r="H37" s="714" t="str">
        <f>UPPER("davon in Koordinationsrolle")</f>
        <v>DAVON IN KOORDINATIONSROLLE</v>
      </c>
      <c r="I37" s="714"/>
      <c r="J37" s="714" t="str">
        <f>UPPER("Förderungen")</f>
        <v>FÖRDERUNGEN</v>
      </c>
      <c r="K37" s="714"/>
      <c r="L37" s="428" t="s">
        <v>13</v>
      </c>
      <c r="M37" s="428" t="str">
        <f>UPPER("Erfolgsquote der Beteiligung")</f>
        <v>ERFOLGSQUOTE DER BETEILIGUNG</v>
      </c>
    </row>
    <row r="38" spans="1:15" ht="33.75" customHeight="1">
      <c r="B38">
        <v>6154</v>
      </c>
      <c r="D38" s="734" t="str">
        <f>R3</f>
        <v>Widening Participation and Strengthening the ERA</v>
      </c>
      <c r="E38" s="722"/>
      <c r="F38" s="715">
        <f ca="1">_xll.PALO.DATAC("jedoxtest/EU_PM_CUBE02","EUPM_Mittel2_Cube",AT_ExSc_Datenstand,"Alle Beteiligungen","Alle Koordinatoren","Alle Unternehmensgrößen","-2","Alle Organisationstypen",28,"Alle Expertevaluierungsstatus",$B$38,"-2",1,"-2","Alle","-2","anzahl_beteiligungen")</f>
        <v>110</v>
      </c>
      <c r="G38" s="715"/>
      <c r="H38" s="715">
        <f ca="1">_xll.PALO.DATAC("jedoxtest/EU_PM_CUBE02","EUPM_Mittel2_Cube",AT_ExSc_Datenstand,"Alle Beteiligungen","Alle Koordinatoren","Alle Unternehmensgrößen","-2","Alle Organisationstypen",28,"Alle Expertevaluierungsstatus",$B$38,"-2",1,"-2","Alle","-2","anzahl_koordinatoren")</f>
        <v>18</v>
      </c>
      <c r="I38" s="715"/>
      <c r="J38" s="715">
        <f ca="1">_xll.PALO.DATAC("jedoxtest/EU_PM_CUBE02","EUPM_Mittel2_Cube",AT_ExSc_Datenstand,"Alle Beteiligungen","Alle Koordinatoren","Alle Unternehmensgrößen","-2","Alle Organisationstypen",28,"Alle Expertevaluierungsstatus",$B$38,"-2",1,"-2","Alle","-2","foerderung")</f>
        <v>26655818.690000001</v>
      </c>
      <c r="K38" s="715"/>
      <c r="L38" s="426">
        <f ca="1">_xll.PALO.DATAC("jedoxtest/EU_PM_CUBE02","EUPM_Mittel2_Cube",AT_ExSc_Datenstand,"Alle Beteiligungen","Alle Koordinatoren","Alle Unternehmensgrößen","-2","Alle Organisationstypen",5,"Alle Expertevaluierungsstatus",$B$38,"-2",1,"-2","Alle","-2","anzahl_beteiligungen")</f>
        <v>520</v>
      </c>
      <c r="M38" s="568">
        <f ca="1">_xll.PALO.DATAC("jedoxtest/EU_PM_CUBE02","EUPM_Mittel2_Cube",AT_ExSc_Datenstand,"Alle Beteiligungen","Alle Koordinatoren","Alle Unternehmensgrößen","-2","Alle Organisationstypen",14,"Alle Expertevaluierungsstatus",$B38,"-2",1,"-2","Alle","-2","anzahl_beteiligungen")/_xll.PALO.DATAC("jedoxtest/EU_PM_CUBE02","EUPM_Mittel2_Cube",AT_ExSc_Datenstand,"Alle Beteiligungen","Alle Koordinatoren","Alle Unternehmensgrößen","-2","Alle Organisationstypen",5,"Alle Expertevaluierungsstatus",$B38,"-2",1,"-2","Alle","-2","anzahl_beteiligungen")</f>
        <v>0.21153846153846154</v>
      </c>
    </row>
    <row r="39" spans="1:15" s="62" customFormat="1" ht="30" customHeight="1">
      <c r="B39">
        <v>6167</v>
      </c>
      <c r="C39" s="424"/>
      <c r="D39" s="735" t="str">
        <f ca="1">_xll.PALO.DATA("jedoxtest/EU_PM_CUBE02","#_Programme","Langbezeichnung",$B39)</f>
        <v>Widening participation and spreading excellence</v>
      </c>
      <c r="E39" s="735"/>
      <c r="F39" s="709">
        <f ca="1">_xll.PALO.DATAC("jedoxtest/EU_PM_CUBE02","EUPM_Mittel2_Cube",AT_ExSc_Datenstand,"Alle Beteiligungen","Alle Koordinatoren","Alle Unternehmensgrößen","-2","Alle Organisationstypen",28,"Alle Expertevaluierungsstatus",$B39,"-2",1,"-2","Alle","-2",F$36)</f>
        <v>65</v>
      </c>
      <c r="G39" s="709"/>
      <c r="H39" s="709">
        <f ca="1">_xll.PALO.DATAC("jedoxtest/EU_PM_CUBE02","EUPM_Mittel2_Cube",AT_ExSc_Datenstand,"Alle Beteiligungen","Alle Koordinatoren","Alle Unternehmensgrößen","-2","Alle Organisationstypen",28,"Alle Expertevaluierungsstatus",$B39,"-2",1,"-2","Alle","-2",H$36)</f>
        <v>13</v>
      </c>
      <c r="I39" s="709"/>
      <c r="J39" s="709">
        <f ca="1">_xll.PALO.DATAC("jedoxtest/EU_PM_CUBE02","EUPM_Mittel2_Cube",AT_ExSc_Datenstand,"Alle Beteiligungen","Alle Koordinatoren","Alle Unternehmensgrößen","-2","Alle Organisationstypen",28,"Alle Expertevaluierungsstatus",$B39,"-2",1,"-2","Alle","-2",J$36)</f>
        <v>13484910.76</v>
      </c>
      <c r="K39" s="709"/>
      <c r="L39" s="427">
        <f ca="1">_xll.PALO.DATAC("jedoxtest/EU_PM_CUBE02","EUPM_Mittel2_Cube",AT_ExSc_Datenstand,"Alle Beteiligungen","Alle Koordinatoren","Alle Unternehmensgrößen","-2","Alle Organisationstypen",5,"Alle Expertevaluierungsstatus",$B39,"-2",1,"-2","Alle","-2","anzahl_beteiligungen")</f>
        <v>364</v>
      </c>
      <c r="M39" s="567">
        <f ca="1">_xll.PALO.DATAC("jedoxtest/EU_PM_CUBE02","EUPM_Mittel2_Cube",AT_ExSc_Datenstand,"Alle Beteiligungen","Alle Koordinatoren","Alle Unternehmensgrößen","-2","Alle Organisationstypen",14,"Alle Expertevaluierungsstatus",$B39,"-2",1,"-2","Alle","-2","anzahl_beteiligungen")/_xll.PALO.DATAC("jedoxtest/EU_PM_CUBE02","EUPM_Mittel2_Cube",AT_ExSc_Datenstand,"Alle Beteiligungen","Alle Koordinatoren","Alle Unternehmensgrößen","-2","Alle Organisationstypen",5,"Alle Expertevaluierungsstatus",$B39,"-2",1,"-2","Alle","-2","anzahl_beteiligungen")</f>
        <v>0.16758241758241757</v>
      </c>
      <c r="N39" s="424"/>
      <c r="O39" s="424"/>
    </row>
    <row r="40" spans="1:15" s="62" customFormat="1" ht="30" customHeight="1">
      <c r="B40">
        <v>6168</v>
      </c>
      <c r="C40" s="424"/>
      <c r="D40" s="735" t="str">
        <f ca="1">_xll.PALO.DATA("jedoxtest/EU_PM_CUBE02","#_Programme","Langbezeichnung",$B40)</f>
        <v>Reforming and enhancing the European R&amp;I System</v>
      </c>
      <c r="E40" s="735"/>
      <c r="F40" s="709">
        <f ca="1">_xll.PALO.DATAC("jedoxtest/EU_PM_CUBE02","EUPM_Mittel2_Cube",AT_ExSc_Datenstand,"Alle Beteiligungen","Alle Koordinatoren","Alle Unternehmensgrößen","-2","Alle Organisationstypen",28,"Alle Expertevaluierungsstatus",$B40,"-2",1,"-2","Alle","-2",F$36)</f>
        <v>45</v>
      </c>
      <c r="G40" s="709"/>
      <c r="H40" s="709">
        <f ca="1">_xll.PALO.DATAC("jedoxtest/EU_PM_CUBE02","EUPM_Mittel2_Cube",AT_ExSc_Datenstand,"Alle Beteiligungen","Alle Koordinatoren","Alle Unternehmensgrößen","-2","Alle Organisationstypen",28,"Alle Expertevaluierungsstatus",$B40,"-2",1,"-2","Alle","-2",H$36)</f>
        <v>5</v>
      </c>
      <c r="I40" s="709"/>
      <c r="J40" s="709">
        <f ca="1">_xll.PALO.DATAC("jedoxtest/EU_PM_CUBE02","EUPM_Mittel2_Cube",AT_ExSc_Datenstand,"Alle Beteiligungen","Alle Koordinatoren","Alle Unternehmensgrößen","-2","Alle Organisationstypen",28,"Alle Expertevaluierungsstatus",$B40,"-2",1,"-2","Alle","-2",J$36)</f>
        <v>13170907.93</v>
      </c>
      <c r="K40" s="709"/>
      <c r="L40" s="427">
        <f ca="1">_xll.PALO.DATAC("jedoxtest/EU_PM_CUBE02","EUPM_Mittel2_Cube",AT_ExSc_Datenstand,"Alle Beteiligungen","Alle Koordinatoren","Alle Unternehmensgrößen","-2","Alle Organisationstypen",5,"Alle Expertevaluierungsstatus",$B40,"-2",1,"-2","Alle","-2","anzahl_beteiligungen")</f>
        <v>156</v>
      </c>
      <c r="M40" s="566">
        <f ca="1">_xll.PALO.DATAC("jedoxtest/EU_PM_CUBE02","EUPM_Mittel2_Cube",AT_ExSc_Datenstand,"Alle Beteiligungen","Alle Koordinatoren","Alle Unternehmensgrößen","-2","Alle Organisationstypen",14,"Alle Expertevaluierungsstatus",$B40,"-2",1,"-2","Alle","-2","anzahl_beteiligungen")/_xll.PALO.DATAC("jedoxtest/EU_PM_CUBE02","EUPM_Mittel2_Cube",AT_ExSc_Datenstand,"Alle Beteiligungen","Alle Koordinatoren","Alle Unternehmensgrößen","-2","Alle Organisationstypen",5,"Alle Expertevaluierungsstatus",$B40,"-2",1,"-2","Alle","-2","anzahl_beteiligungen")</f>
        <v>0.3141025641025641</v>
      </c>
      <c r="N40" s="424"/>
      <c r="O40" s="424"/>
    </row>
    <row r="41" spans="1:15" s="424" customFormat="1"/>
    <row r="42" spans="1:15" s="424" customFormat="1">
      <c r="K42" s="705" t="str">
        <f ca="1">"Quelle: EC "&amp;_xll.PALO.DATA("jedoxtest/EU_PM_CUBE02","#_Datenstand","reference_month",AT_ExSc_Datenstand)&amp;"/"&amp;_xll.PALO.DATA("jedoxtest/EU_PM_CUBE02","#_Datenstand","reference_year",AT_ExSc_Datenstand)&amp;"; Darstellung FFG"</f>
        <v>Quelle: EC 5/2026; Darstellung FFG</v>
      </c>
      <c r="L42" s="706"/>
      <c r="M42" s="706"/>
      <c r="N42" s="706"/>
    </row>
    <row r="43" spans="1:15" s="424" customFormat="1" hidden="1">
      <c r="K43" s="705"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L43" s="705"/>
      <c r="M43" s="705"/>
      <c r="N43" s="705"/>
    </row>
    <row r="44" spans="1:15" s="425" customFormat="1"/>
    <row r="45" spans="1:15" s="425" customFormat="1"/>
    <row r="46" spans="1:15" s="425" customFormat="1"/>
    <row r="48" spans="1:15" hidden="1">
      <c r="A48" s="61" t="b">
        <f ca="1">_xll.PALO.HIDEROW(ISBLANK($A$1))</f>
        <v>1</v>
      </c>
      <c r="D48" s="61" t="s">
        <v>11</v>
      </c>
      <c r="E48" s="61" t="str">
        <f ca="1">_xll.PALO.ENAME("jedoxtest/EU_PM_CUBE02","Datenstand",3)</f>
        <v>117</v>
      </c>
    </row>
  </sheetData>
  <mergeCells count="28">
    <mergeCell ref="K42:N42"/>
    <mergeCell ref="K43:N43"/>
    <mergeCell ref="D38:E38"/>
    <mergeCell ref="D39:E39"/>
    <mergeCell ref="D40:E40"/>
    <mergeCell ref="F40:G40"/>
    <mergeCell ref="H40:I40"/>
    <mergeCell ref="J40:K40"/>
    <mergeCell ref="F38:G38"/>
    <mergeCell ref="H38:I38"/>
    <mergeCell ref="J38:K38"/>
    <mergeCell ref="F39:G39"/>
    <mergeCell ref="H39:I39"/>
    <mergeCell ref="J39:K39"/>
    <mergeCell ref="D22:M22"/>
    <mergeCell ref="D24:N24"/>
    <mergeCell ref="D32:M32"/>
    <mergeCell ref="D34:N34"/>
    <mergeCell ref="F37:G37"/>
    <mergeCell ref="H37:I37"/>
    <mergeCell ref="J37:K37"/>
    <mergeCell ref="D2:N2"/>
    <mergeCell ref="E4:G4"/>
    <mergeCell ref="H4:J4"/>
    <mergeCell ref="K4:M4"/>
    <mergeCell ref="E5:G5"/>
    <mergeCell ref="H5:J5"/>
    <mergeCell ref="K5:M5"/>
  </mergeCells>
  <conditionalFormatting sqref="D38:D40">
    <cfRule type="expression" dxfId="93" priority="4">
      <formula>E38=5</formula>
    </cfRule>
    <cfRule type="expression" dxfId="92" priority="5">
      <formula>$E38=4</formula>
    </cfRule>
  </conditionalFormatting>
  <conditionalFormatting sqref="F39:F40 L39:L40">
    <cfRule type="expression" dxfId="91" priority="11">
      <formula>$E39=4</formula>
    </cfRule>
  </conditionalFormatting>
  <conditionalFormatting sqref="F38:L38">
    <cfRule type="expression" dxfId="90" priority="17">
      <formula>$E38=4</formula>
    </cfRule>
  </conditionalFormatting>
  <conditionalFormatting sqref="H39:H40">
    <cfRule type="expression" dxfId="89" priority="10">
      <formula>$E39=4</formula>
    </cfRule>
  </conditionalFormatting>
  <conditionalFormatting sqref="J39:J40">
    <cfRule type="expression" dxfId="88" priority="9">
      <formula>$E39=4</formula>
    </cfRule>
  </conditionalFormatting>
  <conditionalFormatting sqref="M38:M40">
    <cfRule type="expression" dxfId="87" priority="1">
      <formula>$E38=4</formula>
    </cfRule>
  </conditionalFormatting>
  <pageMargins left="0.70866141732283472" right="0.70866141732283472" top="0.74803149606299213" bottom="0.74803149606299213" header="0.31496062992125984" footer="0.31496062992125984"/>
  <pageSetup paperSize="9" scale="73"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tabColor rgb="FF00B0F0"/>
    <pageSetUpPr fitToPage="1"/>
  </sheetPr>
  <dimension ref="A1:K56"/>
  <sheetViews>
    <sheetView zoomScaleNormal="100" workbookViewId="0">
      <selection activeCell="M6" sqref="M6"/>
    </sheetView>
  </sheetViews>
  <sheetFormatPr baseColWidth="10" defaultColWidth="11.42578125" defaultRowHeight="15"/>
  <cols>
    <col min="1" max="1" width="4.42578125" style="61" customWidth="1"/>
    <col min="2" max="8" width="15.5703125" style="61" customWidth="1"/>
    <col min="9" max="9" width="13.7109375" style="61" customWidth="1"/>
    <col min="10" max="16384" width="11.42578125" style="61"/>
  </cols>
  <sheetData>
    <row r="1" spans="1:9" ht="15" customHeight="1">
      <c r="A1" s="35"/>
      <c r="B1" s="35"/>
      <c r="C1" s="35"/>
      <c r="D1" s="35"/>
      <c r="E1" s="35"/>
      <c r="F1" s="35"/>
      <c r="G1" s="35"/>
      <c r="H1" s="35"/>
      <c r="I1" s="35"/>
    </row>
    <row r="2" spans="1:9" ht="15" hidden="1" customHeight="1">
      <c r="A2" s="35" t="b">
        <f ca="1">_xll.PALO.HIDEROW(ISBLANK($A$1))</f>
        <v>1</v>
      </c>
      <c r="B2" s="35"/>
      <c r="C2" s="35"/>
      <c r="D2" s="35"/>
      <c r="E2" s="35"/>
      <c r="F2" s="35"/>
      <c r="G2" s="35"/>
      <c r="H2" s="35"/>
      <c r="I2" s="35"/>
    </row>
    <row r="3" spans="1:9" ht="28.5" customHeight="1">
      <c r="A3" s="35"/>
      <c r="B3" s="736" t="str">
        <f ca="1">"Österreich in "&amp;_xll.PALO.DATA("jedoxtest/EU_PM_CUBE02","#_Datenstand","frameworkprog_long",Datenstand)&amp;" nach Organisationstypen"</f>
        <v>Österreich in Horizon Europe nach Organisationstypen</v>
      </c>
      <c r="C3" s="737"/>
      <c r="D3" s="737"/>
      <c r="E3" s="737"/>
      <c r="F3" s="737"/>
      <c r="G3" s="737"/>
      <c r="H3" s="737"/>
      <c r="I3" s="35"/>
    </row>
    <row r="4" spans="1:9" ht="15" customHeight="1">
      <c r="A4" s="35"/>
      <c r="B4" s="63"/>
      <c r="C4" s="63"/>
      <c r="D4" s="63"/>
      <c r="E4" s="63"/>
      <c r="F4" s="63"/>
      <c r="G4" s="63"/>
      <c r="H4" s="63"/>
      <c r="I4" s="35"/>
    </row>
    <row r="5" spans="1:9" ht="20.25" customHeight="1">
      <c r="A5" s="35"/>
      <c r="B5" s="64"/>
      <c r="C5" s="64"/>
      <c r="D5" s="64"/>
      <c r="E5" s="64"/>
      <c r="F5" s="64"/>
      <c r="G5" s="64"/>
      <c r="H5" s="64"/>
      <c r="I5" s="35"/>
    </row>
    <row r="6" spans="1:9" ht="15" customHeight="1">
      <c r="A6" s="35"/>
      <c r="B6" s="35"/>
      <c r="C6" s="35"/>
      <c r="D6" s="35"/>
      <c r="E6" s="35"/>
      <c r="F6" s="35"/>
      <c r="G6" s="35"/>
      <c r="H6" s="35"/>
      <c r="I6" s="35"/>
    </row>
    <row r="7" spans="1:9" ht="15" customHeight="1">
      <c r="A7" s="35"/>
      <c r="B7" s="35"/>
      <c r="C7" s="35"/>
      <c r="D7" s="35"/>
      <c r="E7" s="35" t="str">
        <f ca="1">"Beteiligungen gesamt "&amp;TEXT($E$8,"#.000")</f>
        <v>Beteiligungen gesamt 3.919</v>
      </c>
      <c r="F7" s="35" t="str">
        <f ca="1">"Förderung gesamt "&amp;TEXT($F$8,"#.000.000")&amp;" €"</f>
        <v>Förderung gesamt 1.856.201.567 €</v>
      </c>
      <c r="G7" s="35"/>
      <c r="H7" s="35"/>
      <c r="I7" s="35"/>
    </row>
    <row r="8" spans="1:9" ht="15" customHeight="1">
      <c r="A8" s="35"/>
      <c r="B8" s="35"/>
      <c r="C8" s="55" t="s">
        <v>22</v>
      </c>
      <c r="D8" s="65" t="str">
        <f ca="1">_xll.PALO.DATAC("jedoxtest/EU_PM_CUBE02","#_Organisationstyp","ffg_Bezeichnung",$C8)</f>
        <v/>
      </c>
      <c r="E8" s="66">
        <f ca="1">_xll.PALO.DATAC("jedoxtest/EU_PM_CUBE02","EUPM_Mittel2_Cube",Datenstand,"Alle Beteiligungen","Alle Koordinatoren","Alle Unternehmensgrößen","-2","Alle Organisationstypen",28,"Alle Expertevaluierungsstatus","-2","-2",1,"-2","Alle","-2","anzahl_beteiligungen")</f>
        <v>3919</v>
      </c>
      <c r="F8" s="66">
        <f ca="1">_xll.PALO.DATAC("jedoxtest/EU_PM_CUBE02","EUPM_Mittel2_Cube",Datenstand,"Alle Beteiligungen","Alle Koordinatoren","Alle Unternehmensgrößen","-2","Alle Organisationstypen",28,"Alle Expertevaluierungsstatus","-2","-2",1,"-2","Alle","-2","foerderung")</f>
        <v>1856201567.4500101</v>
      </c>
      <c r="G8" s="35">
        <f ca="1">F31</f>
        <v>1041</v>
      </c>
      <c r="H8" s="35"/>
      <c r="I8" s="35"/>
    </row>
    <row r="9" spans="1:9" ht="15" customHeight="1">
      <c r="A9" s="35"/>
      <c r="B9" s="35"/>
      <c r="C9" s="55">
        <v>1</v>
      </c>
      <c r="D9" s="65" t="str">
        <f ca="1">_xll.PALO.DATAC("jedoxtest/EU_PM_CUBE02","#_Organisationstyp","ffg_Bezeichnung",$C9)</f>
        <v>Hochschule</v>
      </c>
      <c r="E9" s="66">
        <f ca="1">_xll.PALO.DATAC("jedoxtest/EU_PM_CUBE02","EUPM_Mittel2_Cube",Datenstand,"Alle Beteiligungen","Alle Koordinatoren","Alle Unternehmensgrößen","-2",$C9,28,"Alle Expertevaluierungsstatus","-2","-2",1,"-2","Alle","-2","anzahl_beteiligungen")</f>
        <v>1365</v>
      </c>
      <c r="F9" s="66">
        <f ca="1">_xll.PALO.DATAC("jedoxtest/EU_PM_CUBE02","EUPM_Mittel2_Cube",Datenstand,"Alle Beteiligungen","Alle Koordinatoren","Alle Unternehmensgrößen","-2",$C9,28,"Alle Expertevaluierungsstatus","-2","-2",1,"-2","Alle","-2","foerderung")</f>
        <v>775150030.02999997</v>
      </c>
      <c r="G9" s="35">
        <f ca="1">F9/$F$8</f>
        <v>0.41760013762668896</v>
      </c>
      <c r="H9" s="35"/>
      <c r="I9" s="35"/>
    </row>
    <row r="10" spans="1:9" ht="15" customHeight="1">
      <c r="A10" s="35"/>
      <c r="B10" s="35"/>
      <c r="C10" s="55">
        <v>2</v>
      </c>
      <c r="D10" s="65" t="str">
        <f ca="1">_xll.PALO.DATAC("jedoxtest/EU_PM_CUBE02","#_Organisationstyp","ffg_Bezeichnung",$C10)</f>
        <v>Unternehmen</v>
      </c>
      <c r="E10" s="66">
        <f ca="1">_xll.PALO.DATAC("jedoxtest/EU_PM_CUBE02","EUPM_Mittel2_Cube",Datenstand,"Alle Beteiligungen","Alle Koordinatoren","Alle Unternehmensgrößen","-2",$C10,28,"Alle Expertevaluierungsstatus","-2","-2",1,"-2","Alle","-2","anzahl_beteiligungen")</f>
        <v>1138</v>
      </c>
      <c r="F10" s="66">
        <f ca="1">_xll.PALO.DATAC("jedoxtest/EU_PM_CUBE02","EUPM_Mittel2_Cube",Datenstand,"Alle Beteiligungen","Alle Koordinatoren","Alle Unternehmensgrößen","-2",$C10,28,"Alle Expertevaluierungsstatus","-2","-2",1,"-2","Alle","-2","foerderung")</f>
        <v>399175121.76999998</v>
      </c>
      <c r="G10" s="35">
        <f t="shared" ref="G10:G13" ca="1" si="0">F10/$F$8</f>
        <v>0.21504944762996506</v>
      </c>
      <c r="H10" s="35"/>
      <c r="I10" s="35"/>
    </row>
    <row r="11" spans="1:9" ht="15" customHeight="1">
      <c r="A11" s="35"/>
      <c r="B11" s="35"/>
      <c r="C11" s="55">
        <v>5</v>
      </c>
      <c r="D11" s="65" t="str">
        <f ca="1">_xll.PALO.DATAC("jedoxtest/EU_PM_CUBE02","#_Organisationstyp","ffg_Bezeichnung",$C11)</f>
        <v>Auniv.Forschung</v>
      </c>
      <c r="E11" s="66">
        <f ca="1">_xll.PALO.DATAC("jedoxtest/EU_PM_CUBE02","EUPM_Mittel2_Cube",Datenstand,"Alle Beteiligungen","Alle Koordinatoren","Alle Unternehmensgrößen","-2",$C11,28,"Alle Expertevaluierungsstatus","-2","-2",1,"-2","Alle","-2","anzahl_beteiligungen")</f>
        <v>1041</v>
      </c>
      <c r="F11" s="66">
        <f ca="1">_xll.PALO.DATAC("jedoxtest/EU_PM_CUBE02","EUPM_Mittel2_Cube",Datenstand,"Alle Beteiligungen","Alle Koordinatoren","Alle Unternehmensgrößen","-2",$C11,28,"Alle Expertevaluierungsstatus","-2","-2",1,"-2","Alle","-2","foerderung")</f>
        <v>526767257.48000002</v>
      </c>
      <c r="G11" s="35">
        <f t="shared" ca="1" si="0"/>
        <v>0.28378774520897315</v>
      </c>
      <c r="H11" s="35"/>
      <c r="I11" s="35"/>
    </row>
    <row r="12" spans="1:9" ht="15" customHeight="1">
      <c r="A12" s="35"/>
      <c r="B12" s="35"/>
      <c r="C12" s="55">
        <v>4</v>
      </c>
      <c r="D12" s="65" t="str">
        <f ca="1">_xll.PALO.DATAC("jedoxtest/EU_PM_CUBE02","#_Organisationstyp","ffg_Bezeichnung",$C12)</f>
        <v>Öff.Institution</v>
      </c>
      <c r="E12" s="66">
        <f ca="1">_xll.PALO.DATAC("jedoxtest/EU_PM_CUBE02","EUPM_Mittel2_Cube",Datenstand,"Alle Beteiligungen","Alle Koordinatoren","Alle Unternehmensgrößen","-2",$C12,28,"Alle Expertevaluierungsstatus","-2","-2",1,"-2","Alle","-2","anzahl_beteiligungen")</f>
        <v>122</v>
      </c>
      <c r="F12" s="66">
        <f ca="1">_xll.PALO.DATAC("jedoxtest/EU_PM_CUBE02","EUPM_Mittel2_Cube",Datenstand,"Alle Beteiligungen","Alle Koordinatoren","Alle Unternehmensgrößen","-2",$C12,28,"Alle Expertevaluierungsstatus","-2","-2",1,"-2","Alle","-2","foerderung")</f>
        <v>46747749.289999999</v>
      </c>
      <c r="G12" s="35">
        <f t="shared" ca="1" si="0"/>
        <v>2.5184629789005378E-2</v>
      </c>
      <c r="H12" s="35"/>
      <c r="I12" s="35"/>
    </row>
    <row r="13" spans="1:9" ht="15" customHeight="1">
      <c r="A13" s="35"/>
      <c r="B13" s="35"/>
      <c r="C13" s="55">
        <v>3</v>
      </c>
      <c r="D13" s="65" t="str">
        <f ca="1">_xll.PALO.DATAC("jedoxtest/EU_PM_CUBE02","#_Organisationstyp","ffg_Bezeichnung",$C13)</f>
        <v>Sonstige</v>
      </c>
      <c r="E13" s="66">
        <f ca="1">_xll.PALO.DATAC("jedoxtest/EU_PM_CUBE02","EUPM_Mittel2_Cube",Datenstand,"Alle Beteiligungen","Alle Koordinatoren","Alle Unternehmensgrößen","-2",$C13,28,"Alle Expertevaluierungsstatus","-2","-2",1,"-2","Alle","-2","anzahl_beteiligungen")</f>
        <v>253</v>
      </c>
      <c r="F13" s="66">
        <f ca="1">_xll.PALO.DATAC("jedoxtest/EU_PM_CUBE02","EUPM_Mittel2_Cube",Datenstand,"Alle Beteiligungen","Alle Koordinatoren","Alle Unternehmensgrößen","-2",$C13,28,"Alle Expertevaluierungsstatus","-2","-2",1,"-2","Alle","-2","foerderung")</f>
        <v>108361408.88</v>
      </c>
      <c r="G13" s="35">
        <f t="shared" ca="1" si="0"/>
        <v>5.8378039745362036E-2</v>
      </c>
      <c r="H13" s="35"/>
      <c r="I13" s="35"/>
    </row>
    <row r="14" spans="1:9" ht="15" customHeight="1">
      <c r="A14" s="35"/>
      <c r="B14" s="35"/>
      <c r="C14" s="35"/>
      <c r="D14" s="35"/>
      <c r="E14" s="35"/>
      <c r="F14" s="35"/>
      <c r="G14" s="35"/>
      <c r="H14" s="35"/>
      <c r="I14" s="35"/>
    </row>
    <row r="15" spans="1:9" ht="15" customHeight="1">
      <c r="A15" s="35"/>
      <c r="B15" s="35"/>
      <c r="C15" s="35"/>
      <c r="D15" s="35"/>
      <c r="E15" s="35"/>
      <c r="F15" s="35"/>
      <c r="G15" s="35"/>
      <c r="H15" s="35"/>
      <c r="I15" s="35"/>
    </row>
    <row r="16" spans="1:9" ht="15" customHeight="1">
      <c r="A16" s="35"/>
      <c r="B16" s="35"/>
      <c r="C16" s="35"/>
      <c r="D16" s="35"/>
      <c r="E16" s="35"/>
      <c r="F16" s="35"/>
      <c r="G16" s="35"/>
      <c r="H16" s="35"/>
      <c r="I16" s="35"/>
    </row>
    <row r="17" spans="1:10" ht="15" customHeight="1">
      <c r="A17" s="35"/>
      <c r="B17" s="35"/>
      <c r="C17" s="35"/>
      <c r="D17" s="35"/>
      <c r="E17" s="35"/>
      <c r="F17" s="35"/>
      <c r="G17" s="35"/>
      <c r="H17" s="35"/>
      <c r="I17" s="35"/>
    </row>
    <row r="18" spans="1:10" ht="15" customHeight="1">
      <c r="A18" s="35"/>
      <c r="B18" s="35"/>
      <c r="C18" s="35"/>
      <c r="D18" s="35"/>
      <c r="E18" s="35"/>
      <c r="F18" s="35"/>
      <c r="G18" s="35"/>
      <c r="H18" s="35"/>
      <c r="I18" s="35"/>
    </row>
    <row r="19" spans="1:10" ht="33.75" customHeight="1">
      <c r="A19" s="35"/>
      <c r="B19" s="35"/>
      <c r="C19" s="35"/>
      <c r="D19" s="35"/>
      <c r="E19" s="35"/>
      <c r="F19" s="35"/>
      <c r="G19" s="35"/>
      <c r="H19" s="35"/>
      <c r="I19" s="35"/>
    </row>
    <row r="20" spans="1:10" ht="33.75" customHeight="1">
      <c r="A20" s="35"/>
      <c r="B20" s="35"/>
      <c r="C20" s="35"/>
      <c r="D20" s="35"/>
      <c r="E20" s="35"/>
      <c r="F20" s="35"/>
      <c r="G20" s="35"/>
      <c r="H20" s="35"/>
      <c r="I20" s="35"/>
    </row>
    <row r="21" spans="1:10" ht="33.75" customHeight="1">
      <c r="A21" s="35"/>
      <c r="B21" s="35"/>
      <c r="C21" s="35"/>
      <c r="D21" s="35"/>
      <c r="E21" s="35"/>
      <c r="F21" s="35"/>
      <c r="G21" s="35"/>
      <c r="H21" s="35"/>
      <c r="I21" s="35"/>
    </row>
    <row r="22" spans="1:10" ht="33.75" customHeight="1">
      <c r="A22" s="35"/>
      <c r="B22" s="35"/>
      <c r="C22" s="35"/>
      <c r="D22" s="35"/>
      <c r="E22" s="35"/>
      <c r="F22" s="35"/>
      <c r="G22" s="35"/>
      <c r="H22" s="35"/>
      <c r="I22" s="35"/>
    </row>
    <row r="23" spans="1:10" ht="33.75" customHeight="1">
      <c r="A23" s="35"/>
      <c r="B23" s="35"/>
      <c r="C23" s="35"/>
      <c r="D23" s="35"/>
      <c r="E23" s="35"/>
      <c r="F23" s="35"/>
      <c r="G23" s="35"/>
      <c r="H23" s="35"/>
      <c r="I23" s="35"/>
    </row>
    <row r="24" spans="1:10" ht="33.75" customHeight="1">
      <c r="A24" s="35"/>
      <c r="B24" s="35"/>
      <c r="C24" s="35"/>
      <c r="D24" s="35"/>
      <c r="E24" s="35"/>
      <c r="F24" s="35"/>
      <c r="G24" s="35"/>
      <c r="H24" s="35"/>
      <c r="I24" s="35"/>
    </row>
    <row r="25" spans="1:10" ht="33.75" customHeight="1">
      <c r="A25" s="35"/>
      <c r="B25" s="35"/>
      <c r="C25" s="35"/>
      <c r="D25" s="35"/>
      <c r="E25" s="35"/>
      <c r="F25" s="35"/>
      <c r="G25" s="35"/>
      <c r="H25" s="35"/>
      <c r="I25"/>
      <c r="J25"/>
    </row>
    <row r="26" spans="1:10">
      <c r="A26" s="35"/>
      <c r="B26" s="35"/>
      <c r="C26" s="35"/>
      <c r="D26" s="35"/>
      <c r="E26" s="35"/>
      <c r="F26" s="35"/>
      <c r="G26" s="35"/>
      <c r="H26" s="45"/>
      <c r="I26"/>
      <c r="J26"/>
    </row>
    <row r="27" spans="1:10">
      <c r="A27" s="35"/>
      <c r="B27" s="35"/>
      <c r="C27" s="35"/>
      <c r="D27" s="35"/>
      <c r="E27" s="35"/>
      <c r="F27" s="35"/>
      <c r="G27" s="35"/>
      <c r="H27" s="45"/>
      <c r="I27"/>
      <c r="J27"/>
    </row>
    <row r="28" spans="1:10" s="35" customFormat="1">
      <c r="B28" s="41"/>
      <c r="C28" s="42"/>
      <c r="D28" s="67">
        <v>1</v>
      </c>
      <c r="E28" s="41">
        <v>2</v>
      </c>
      <c r="F28" s="41">
        <v>5</v>
      </c>
      <c r="G28" s="41">
        <v>4</v>
      </c>
      <c r="H28" s="41">
        <v>3</v>
      </c>
      <c r="I28" s="347" t="s">
        <v>22</v>
      </c>
      <c r="J28"/>
    </row>
    <row r="29" spans="1:10" s="35" customFormat="1" ht="15" customHeight="1">
      <c r="B29" s="55"/>
      <c r="C29" s="65"/>
      <c r="D29" s="57" t="str">
        <f ca="1">_xll.PALO.DATAC("jedoxtest/EU_PM_CUBE02","#_Organisationstyp","ffg_Bezeichnung",D$28)</f>
        <v>Hochschule</v>
      </c>
      <c r="E29" s="57" t="str">
        <f ca="1">_xll.PALO.DATAC("jedoxtest/EU_PM_CUBE02","#_Organisationstyp","ffg_Bezeichnung",E$28)</f>
        <v>Unternehmen</v>
      </c>
      <c r="F29" s="57" t="str">
        <f ca="1">_xll.PALO.DATAC("jedoxtest/EU_PM_CUBE02","#_Organisationstyp","ffg_Bezeichnung",F28)</f>
        <v>Auniv.Forschung</v>
      </c>
      <c r="G29" s="57" t="str">
        <f ca="1">_xll.PALO.DATAC("jedoxtest/EU_PM_CUBE02","#_Organisationstyp","ffg_Bezeichnung",G28)</f>
        <v>Öff.Institution</v>
      </c>
      <c r="H29" s="59" t="str">
        <f ca="1">_xll.PALO.DATAC("jedoxtest/EU_PM_CUBE02","#_Organisationstyp","ffg_Bezeichnung",H28)</f>
        <v>Sonstige</v>
      </c>
      <c r="I29" s="347" t="str">
        <f ca="1">_xll.PALO.DATAC("jedoxtest/EU_PM_CUBE02","#_Organisationstyp","ffg_Bezeichnung",I$28)</f>
        <v/>
      </c>
      <c r="J29"/>
    </row>
    <row r="30" spans="1:10" s="35" customFormat="1" ht="15" customHeight="1">
      <c r="B30" s="55">
        <v>1000001</v>
      </c>
      <c r="C30" s="65" t="str">
        <f ca="1">_xll.PALO.DATAC("jedoxtest/EU_PM_CUBE02","#_Staatengruppen_und_NUTS","Bezeichnung",B30)</f>
        <v>MEMBER</v>
      </c>
      <c r="D30" s="57">
        <f ca="1">_xll.PALO.DATAC("jedoxtest/EU_PM_CUBE02","EUPM_Mittel2_Cube",Datenstand,"Alle Beteiligungen","Alle Koordinatoren","Alle Unternehmensgrößen","-2",D$28,28,"Alle Expertevaluierungsstatus","-2","-2",$B30,"-2","Alle","-2","anzahl_beteiligungen")</f>
        <v>36559</v>
      </c>
      <c r="E30" s="57">
        <f ca="1">_xll.PALO.DATAC("jedoxtest/EU_PM_CUBE02","EUPM_Mittel2_Cube",Datenstand,"Alle Beteiligungen","Alle Koordinatoren","Alle Unternehmensgrößen","-2",E$28,28,"Alle Expertevaluierungsstatus","-2","-2",$B30,"-2","Alle","-2","anzahl_beteiligungen")</f>
        <v>34868</v>
      </c>
      <c r="F30" s="57">
        <f ca="1">_xll.PALO.DATAC("jedoxtest/EU_PM_CUBE02","EUPM_Mittel2_Cube",Datenstand,"Alle Beteiligungen","Alle Koordinatoren","Alle Unternehmensgrößen","-2",F$28,28,"Alle Expertevaluierungsstatus","-2","-2",$B30,"-2","Alle","-2","anzahl_beteiligungen")</f>
        <v>26608</v>
      </c>
      <c r="G30" s="57">
        <f ca="1">_xll.PALO.DATAC("jedoxtest/EU_PM_CUBE02","EUPM_Mittel2_Cube",Datenstand,"Alle Beteiligungen","Alle Koordinatoren","Alle Unternehmensgrößen","-2",G$28,28,"Alle Expertevaluierungsstatus","-2","-2",$B30,"-2","Alle","-2","anzahl_beteiligungen")</f>
        <v>5963</v>
      </c>
      <c r="H30" s="59">
        <f ca="1">_xll.PALO.DATAC("jedoxtest/EU_PM_CUBE02","EUPM_Mittel2_Cube",Datenstand,"Alle Beteiligungen","Alle Koordinatoren","Alle Unternehmensgrößen","-2",H$28,28,"Alle Expertevaluierungsstatus","-2","-2",$B30,"-2","Alle","-2","anzahl_beteiligungen")</f>
        <v>9030</v>
      </c>
      <c r="I30" s="347">
        <f ca="1">_xll.PALO.DATAC("jedoxtest/EU_PM_CUBE02","EUPM_Mittel2_Cube",Datenstand,"Alle Beteiligungen","Alle Koordinatoren","Alle Unternehmensgrößen","-2",I$28,28,"Alle Expertevaluierungsstatus","-2","-2",$B30,"-2","Alle","-2","anzahl_beteiligungen")</f>
        <v>113028</v>
      </c>
      <c r="J30"/>
    </row>
    <row r="31" spans="1:10" s="35" customFormat="1" ht="15" customHeight="1">
      <c r="B31" s="55">
        <v>1</v>
      </c>
      <c r="C31" s="65" t="str">
        <f ca="1">_xll.PALO.DATAC("jedoxtest/EU_PM_CUBE02","#_Staatengruppen_und_NUTS","Bezeichnung",B31)</f>
        <v>AT</v>
      </c>
      <c r="D31" s="57">
        <f ca="1">_xll.PALO.DATAC("jedoxtest/EU_PM_CUBE02","EUPM_Mittel2_Cube",Datenstand,"Alle Beteiligungen","Alle Koordinatoren","Alle Unternehmensgrößen","-2",D$28,28,"Alle Expertevaluierungsstatus","-2","-2",$B31,"-2","Alle","-2","anzahl_beteiligungen")</f>
        <v>1365</v>
      </c>
      <c r="E31" s="57">
        <f ca="1">_xll.PALO.DATAC("jedoxtest/EU_PM_CUBE02","EUPM_Mittel2_Cube",Datenstand,"Alle Beteiligungen","Alle Koordinatoren","Alle Unternehmensgrößen","-2",E$28,28,"Alle Expertevaluierungsstatus","-2","-2",$B31,"-2","Alle","-2","anzahl_beteiligungen")</f>
        <v>1138</v>
      </c>
      <c r="F31" s="57">
        <f ca="1">_xll.PALO.DATAC("jedoxtest/EU_PM_CUBE02","EUPM_Mittel2_Cube",Datenstand,"Alle Beteiligungen","Alle Koordinatoren","Alle Unternehmensgrößen","-2",F$28,28,"Alle Expertevaluierungsstatus","-2","-2",$B31,"-2","Alle","-2","anzahl_beteiligungen")</f>
        <v>1041</v>
      </c>
      <c r="G31" s="57">
        <f ca="1">_xll.PALO.DATAC("jedoxtest/EU_PM_CUBE02","EUPM_Mittel2_Cube",Datenstand,"Alle Beteiligungen","Alle Koordinatoren","Alle Unternehmensgrößen","-2",G$28,28,"Alle Expertevaluierungsstatus","-2","-2",$B31,"-2","Alle","-2","anzahl_beteiligungen")</f>
        <v>122</v>
      </c>
      <c r="H31" s="59">
        <f ca="1">_xll.PALO.DATAC("jedoxtest/EU_PM_CUBE02","EUPM_Mittel2_Cube",Datenstand,"Alle Beteiligungen","Alle Koordinatoren","Alle Unternehmensgrößen","-2",H$28,28,"Alle Expertevaluierungsstatus","-2","-2",$B31,"-2","Alle","-2","anzahl_beteiligungen")</f>
        <v>253</v>
      </c>
      <c r="I31" s="347">
        <f ca="1">_xll.PALO.DATAC("jedoxtest/EU_PM_CUBE02","EUPM_Mittel2_Cube",Datenstand,"Alle Beteiligungen","Alle Koordinatoren","Alle Unternehmensgrößen","-2",I$28,28,"Alle Expertevaluierungsstatus","-2","-2",$B31,"-2","Alle","-2","anzahl_beteiligungen")</f>
        <v>3919</v>
      </c>
      <c r="J31"/>
    </row>
    <row r="32" spans="1:10" s="35" customFormat="1" ht="15" customHeight="1">
      <c r="B32" s="55"/>
      <c r="C32" s="65"/>
      <c r="D32" s="57" t="str">
        <f ca="1">_xll.PALO.DATAC("jedoxtest/EU_PM_CUBE02","#_Organisationstyp","ffg_Bezeichnung",D$28)</f>
        <v>Hochschule</v>
      </c>
      <c r="E32" s="57" t="str">
        <f ca="1">_xll.PALO.DATAC("jedoxtest/EU_PM_CUBE02","#_Organisationstyp","ffg_Bezeichnung",E$28)</f>
        <v>Unternehmen</v>
      </c>
      <c r="F32" s="57" t="str">
        <f ca="1">_xll.PALO.DATAC("jedoxtest/EU_PM_CUBE02","#_Organisationstyp","ffg_Bezeichnung",F$28)</f>
        <v>Auniv.Forschung</v>
      </c>
      <c r="G32" s="57" t="str">
        <f ca="1">_xll.PALO.DATAC("jedoxtest/EU_PM_CUBE02","#_Organisationstyp","ffg_Bezeichnung",G$28)</f>
        <v>Öff.Institution</v>
      </c>
      <c r="H32" s="57" t="str">
        <f ca="1">_xll.PALO.DATAC("jedoxtest/EU_PM_CUBE02","#_Organisationstyp","ffg_Bezeichnung",H$28)</f>
        <v>Sonstige</v>
      </c>
      <c r="I32" s="347"/>
      <c r="J32"/>
    </row>
    <row r="33" spans="1:11" s="35" customFormat="1" ht="15" customHeight="1">
      <c r="C33" s="68" t="s">
        <v>167</v>
      </c>
      <c r="D33" s="69">
        <f ca="1">D30/$I30</f>
        <v>0.32345082634391475</v>
      </c>
      <c r="E33" s="69">
        <f t="shared" ref="E33:I33" ca="1" si="1">E30/$I30</f>
        <v>0.30848993169834021</v>
      </c>
      <c r="F33" s="69">
        <f t="shared" ca="1" si="1"/>
        <v>0.2354106946951198</v>
      </c>
      <c r="G33" s="69">
        <f t="shared" ca="1" si="1"/>
        <v>5.2756839013341827E-2</v>
      </c>
      <c r="H33" s="69">
        <f t="shared" ca="1" si="1"/>
        <v>7.9891708249283364E-2</v>
      </c>
      <c r="I33" s="347">
        <f t="shared" ca="1" si="1"/>
        <v>1</v>
      </c>
      <c r="J33"/>
    </row>
    <row r="34" spans="1:11" s="35" customFormat="1" ht="15" customHeight="1">
      <c r="C34" s="68" t="s">
        <v>19</v>
      </c>
      <c r="D34" s="69">
        <f t="shared" ref="D34:I34" ca="1" si="2">D31/$I31</f>
        <v>0.34830313855575401</v>
      </c>
      <c r="E34" s="69">
        <f t="shared" ca="1" si="2"/>
        <v>0.29038019903036488</v>
      </c>
      <c r="F34" s="69">
        <f t="shared" ca="1" si="2"/>
        <v>0.26562898698647613</v>
      </c>
      <c r="G34" s="69">
        <f t="shared" ca="1" si="2"/>
        <v>3.1130390405715743E-2</v>
      </c>
      <c r="H34" s="69">
        <f t="shared" ca="1" si="2"/>
        <v>6.4557285021689212E-2</v>
      </c>
      <c r="I34" s="347">
        <f t="shared" ca="1" si="2"/>
        <v>1</v>
      </c>
      <c r="J34"/>
    </row>
    <row r="35" spans="1:11" s="35" customFormat="1" ht="15" customHeight="1">
      <c r="I35" s="347"/>
      <c r="J35"/>
    </row>
    <row r="36" spans="1:11" s="35" customFormat="1" ht="33.75" customHeight="1">
      <c r="H36" s="40"/>
      <c r="I36" s="445"/>
      <c r="J36" s="328"/>
      <c r="K36" s="40"/>
    </row>
    <row r="37" spans="1:11" s="35" customFormat="1" ht="15" customHeight="1">
      <c r="C37" s="65" t="s">
        <v>292</v>
      </c>
      <c r="D37" s="57">
        <f ca="1">_xll.PALO.DATAC("jedoxtest/EU_PM_CUBE02","EUPM_Mittel2_Cube",Datenstand,"Alle Beteiligungen","Alle Koordinatoren","Alle Unternehmensgrößen","-2",D$28,28,"Alle Expertevaluierungsstatus","-2","-2",1,"-2","Alle","-2","anzahl_beteiligungen")</f>
        <v>1365</v>
      </c>
      <c r="E37" s="57">
        <f ca="1">_xll.PALO.DATAC("jedoxtest/EU_PM_CUBE02","EUPM_Mittel2_Cube",Datenstand,"Alle Beteiligungen","Alle Koordinatoren","Alle Unternehmensgrößen","-2",E$28,28,"Alle Expertevaluierungsstatus","-2","-2",1,"-2","Alle","-2","anzahl_beteiligungen")</f>
        <v>1138</v>
      </c>
      <c r="F37" s="57">
        <f ca="1">_xll.PALO.DATAC("jedoxtest/EU_PM_CUBE02","EUPM_Mittel2_Cube",Datenstand,"Alle Beteiligungen","Alle Koordinatoren","Alle Unternehmensgrößen","-2",F$28,28,"Alle Expertevaluierungsstatus","-2","-2",1,"-2","Alle","-2","anzahl_beteiligungen")</f>
        <v>1041</v>
      </c>
      <c r="G37" s="59">
        <f ca="1">_xll.PALO.DATAC("jedoxtest/EU_PM_CUBE02","EUPM_Mittel2_Cube",Datenstand,"Alle Beteiligungen","Alle Koordinatoren","Alle Unternehmensgrößen","-2",G$28,28,"Alle Expertevaluierungsstatus","-2","-2",1,"-2","Alle","-2","anzahl_beteiligungen")</f>
        <v>122</v>
      </c>
      <c r="H37" s="438">
        <f ca="1">_xll.PALO.DATAC("jedoxtest/EU_PM_CUBE02","EUPM_Mittel2_Cube",Datenstand,"Alle Beteiligungen","Alle Koordinatoren","Alle Unternehmensgrößen","-2",H$28,28,"Alle Expertevaluierungsstatus","-2","-2",1,"-2","Alle","-2","anzahl_beteiligungen")</f>
        <v>253</v>
      </c>
      <c r="I37" s="445">
        <f ca="1">_xll.PALO.DATAC("jedoxtest/EU_PM_CUBE02","EUPM_Mittel2_Cube",Datenstand,"Alle Beteiligungen","Alle Koordinatoren","Alle Unternehmensgrößen","-2",I$28,28,"Alle Expertevaluierungsstatus","-2","-2",1,"-2","Alle","-2","anzahl_beteiligungen")</f>
        <v>3919</v>
      </c>
      <c r="J37" s="328"/>
      <c r="K37" s="40"/>
    </row>
    <row r="38" spans="1:11" s="35" customFormat="1" ht="15" customHeight="1">
      <c r="C38" s="65" t="s">
        <v>166</v>
      </c>
      <c r="D38" s="57">
        <f ca="1">_xll.PALO.DATAC("jedoxtest/EU_PM_CUBE02","EUPM_Mittel2_Cube",$C$56,"Alle Beteiligungen","Alle Koordinatoren","Alle Unternehmensgrößen","-2",D$28,28,"Alle Expertevaluierungsstatus","-2","-2",1,"-2","Alle","-2","anzahl_beteiligungen")</f>
        <v>1522</v>
      </c>
      <c r="E38" s="57">
        <f ca="1">_xll.PALO.DATAC("jedoxtest/EU_PM_CUBE02","EUPM_Mittel2_Cube",$C$56,"Alle Beteiligungen","Alle Koordinatoren","Alle Unternehmensgrößen","-2",E$28,28,"Alle Expertevaluierungsstatus","-2","-2",1,"-2","Alle","-2","anzahl_beteiligungen")</f>
        <v>1868</v>
      </c>
      <c r="F38" s="57">
        <f ca="1">_xll.PALO.DATAC("jedoxtest/EU_PM_CUBE02","EUPM_Mittel2_Cube",$C$56,"Alle Beteiligungen","Alle Koordinatoren","Alle Unternehmensgrößen","-2",F$28,28,"Alle Expertevaluierungsstatus","-2","-2",1,"-2","Alle","-2","anzahl_beteiligungen")</f>
        <v>1245</v>
      </c>
      <c r="G38" s="59">
        <f ca="1">_xll.PALO.DATAC("jedoxtest/EU_PM_CUBE02","EUPM_Mittel2_Cube",$C$56,"Alle Beteiligungen","Alle Koordinatoren","Alle Unternehmensgrößen","-2",G$28,28,"Alle Expertevaluierungsstatus","-2","-2",1,"-2","Alle","-2","anzahl_beteiligungen")</f>
        <v>163</v>
      </c>
      <c r="H38" s="438">
        <f ca="1">_xll.PALO.DATAC("jedoxtest/EU_PM_CUBE02","EUPM_Mittel2_Cube",$C$56,"Alle Beteiligungen","Alle Koordinatoren","Alle Unternehmensgrößen","-2",H$28,28,"Alle Expertevaluierungsstatus","-2","-2",1,"-2","Alle","-2","anzahl_beteiligungen")</f>
        <v>397</v>
      </c>
      <c r="I38" s="446">
        <f ca="1">_xll.PALO.DATAC("jedoxtest/EU_PM_CUBE02","EUPM_Mittel2_Cube",$C$56,"Alle Beteiligungen","Alle Koordinatoren","Alle Unternehmensgrößen","-2",I$28,28,"Alle Expertevaluierungsstatus","-2","-2",1,"-2","Alle","-2","anzahl_beteiligungen")</f>
        <v>5195</v>
      </c>
      <c r="J38" s="328"/>
      <c r="K38" s="40"/>
    </row>
    <row r="39" spans="1:11" ht="15" customHeight="1">
      <c r="A39" s="35"/>
      <c r="B39" s="35"/>
      <c r="C39" s="65" t="s">
        <v>287</v>
      </c>
      <c r="D39" s="57">
        <f ca="1">_xll.PALO.DATAC("jedoxtest/EU_PM_CUBE02","EUPM_Mittel2_Cube",16,"Alle Beteiligungen","Alle Koordinatoren","Alle Unternehmensgrößen","-2",D$28,28,"Alle Expertevaluierungsstatus","-2","-2",1,"-2","Alle","-2","anzahl_beteiligungen")</f>
        <v>1328</v>
      </c>
      <c r="E39" s="57">
        <f ca="1">_xll.PALO.DATAC("jedoxtest/EU_PM_CUBE02","EUPM_Mittel2_Cube",16,"Alle Beteiligungen","Alle Koordinatoren","Alle Unternehmensgrößen","-2",E$28,28,"Alle Expertevaluierungsstatus","-2","-2",1,"-2","Alle","-2","anzahl_beteiligungen")</f>
        <v>1153</v>
      </c>
      <c r="F39" s="57">
        <f ca="1">_xll.PALO.DATAC("jedoxtest/EU_PM_CUBE02","EUPM_Mittel2_Cube",16,"Alle Beteiligungen","Alle Koordinatoren","Alle Unternehmensgrößen","-2",F$28,28,"Alle Expertevaluierungsstatus","-2","-2",1,"-2","Alle","-2","anzahl_beteiligungen")</f>
        <v>897</v>
      </c>
      <c r="G39" s="59">
        <f ca="1">_xll.PALO.DATAC("jedoxtest/EU_PM_CUBE02","EUPM_Mittel2_Cube",16,"Alle Beteiligungen","Alle Koordinatoren","Alle Unternehmensgrößen","-2",G$28,28,"Alle Expertevaluierungsstatus","-2","-2",1,"-2","Alle","-2","anzahl_beteiligungen")</f>
        <v>172</v>
      </c>
      <c r="H39" s="438">
        <f ca="1">_xll.PALO.DATAC("jedoxtest/EU_PM_CUBE02","EUPM_Mittel2_Cube",16,"Alle Beteiligungen","Alle Koordinatoren","Alle Unternehmensgrößen","-2",H$28,28,"Alle Expertevaluierungsstatus","-2","-2",1,"-2","Alle","-2","anzahl_beteiligungen")</f>
        <v>87</v>
      </c>
      <c r="I39" s="446">
        <f ca="1">_xll.PALO.DATAC("jedoxtest/EU_PM_CUBE02","EUPM_Mittel2_Cube",16,"Alle Beteiligungen","Alle Koordinatoren","Alle Unternehmensgrößen","-2",I$28,28,"Alle Expertevaluierungsstatus","-2","-2",1,"-2","Alle","-2","anzahl_beteiligungen")</f>
        <v>3637</v>
      </c>
      <c r="J39" s="328"/>
      <c r="K39" s="385"/>
    </row>
    <row r="40" spans="1:11" ht="15" customHeight="1">
      <c r="A40" s="35"/>
      <c r="B40" s="35"/>
      <c r="C40" s="35"/>
      <c r="D40" s="35"/>
      <c r="E40" s="35"/>
      <c r="F40" s="35"/>
      <c r="G40" s="35"/>
      <c r="H40" s="40"/>
      <c r="I40" s="445"/>
      <c r="J40" s="328"/>
      <c r="K40" s="385"/>
    </row>
    <row r="41" spans="1:11" ht="15" customHeight="1">
      <c r="A41" s="35"/>
      <c r="B41" s="35"/>
      <c r="C41" s="35"/>
      <c r="D41" s="57" t="str">
        <f ca="1">_xll.PALO.DATAC("jedoxtest/EU_PM_CUBE02","#_Organisationstyp","ffg_Bezeichnung",D$28)</f>
        <v>Hochschule</v>
      </c>
      <c r="E41" s="57" t="str">
        <f ca="1">_xll.PALO.DATAC("jedoxtest/EU_PM_CUBE02","#_Organisationstyp","ffg_Bezeichnung",E$28)</f>
        <v>Unternehmen</v>
      </c>
      <c r="F41" s="57" t="str">
        <f ca="1">_xll.PALO.DATAC("jedoxtest/EU_PM_CUBE02","#_Organisationstyp","ffg_Bezeichnung",F$28)</f>
        <v>Auniv.Forschung</v>
      </c>
      <c r="G41" s="59" t="str">
        <f ca="1">_xll.PALO.DATAC("jedoxtest/EU_PM_CUBE02","#_Organisationstyp","ffg_Bezeichnung",G$28)</f>
        <v>Öff.Institution</v>
      </c>
      <c r="H41" s="438" t="str">
        <f ca="1">_xll.PALO.DATAC("jedoxtest/EU_PM_CUBE02","#_Organisationstyp","ffg_Bezeichnung",H$28)</f>
        <v>Sonstige</v>
      </c>
      <c r="I41" s="328"/>
      <c r="J41" s="328"/>
      <c r="K41" s="385"/>
    </row>
    <row r="42" spans="1:11" ht="15" customHeight="1">
      <c r="A42" s="35"/>
      <c r="B42" s="35"/>
      <c r="C42" s="65" t="s">
        <v>292</v>
      </c>
      <c r="D42" s="69">
        <f ca="1">D37/$I37</f>
        <v>0.34830313855575401</v>
      </c>
      <c r="E42" s="69">
        <f t="shared" ref="E42:H42" ca="1" si="3">E37/$I37</f>
        <v>0.29038019903036488</v>
      </c>
      <c r="F42" s="69">
        <f t="shared" ca="1" si="3"/>
        <v>0.26562898698647613</v>
      </c>
      <c r="G42" s="69">
        <f t="shared" ca="1" si="3"/>
        <v>3.1130390405715743E-2</v>
      </c>
      <c r="H42" s="447">
        <f t="shared" ca="1" si="3"/>
        <v>6.4557285021689212E-2</v>
      </c>
      <c r="I42" s="328"/>
      <c r="J42" s="328"/>
      <c r="K42" s="385"/>
    </row>
    <row r="43" spans="1:11" ht="15" customHeight="1">
      <c r="A43" s="35"/>
      <c r="B43" s="35"/>
      <c r="C43" s="65" t="s">
        <v>166</v>
      </c>
      <c r="D43" s="69">
        <f t="shared" ref="D43:H44" ca="1" si="4">D38/$I38</f>
        <v>0.2929740134744947</v>
      </c>
      <c r="E43" s="69">
        <f t="shared" ca="1" si="4"/>
        <v>0.35957651588065448</v>
      </c>
      <c r="F43" s="69">
        <f t="shared" ca="1" si="4"/>
        <v>0.23965351299326276</v>
      </c>
      <c r="G43" s="69">
        <f t="shared" ca="1" si="4"/>
        <v>3.1376323387872954E-2</v>
      </c>
      <c r="H43" s="447">
        <f t="shared" ca="1" si="4"/>
        <v>7.6419634263715105E-2</v>
      </c>
      <c r="I43" s="328"/>
      <c r="J43" s="328"/>
      <c r="K43" s="385"/>
    </row>
    <row r="44" spans="1:11" ht="15" customHeight="1">
      <c r="A44" s="35"/>
      <c r="B44" s="35"/>
      <c r="C44" s="65" t="s">
        <v>287</v>
      </c>
      <c r="D44" s="69">
        <f t="shared" ca="1" si="4"/>
        <v>0.36513610118229312</v>
      </c>
      <c r="E44" s="69">
        <f t="shared" ca="1" si="4"/>
        <v>0.31701952158372287</v>
      </c>
      <c r="F44" s="69">
        <f t="shared" ca="1" si="4"/>
        <v>0.24663183942810007</v>
      </c>
      <c r="G44" s="69">
        <f t="shared" ca="1" si="4"/>
        <v>4.7291723948309043E-2</v>
      </c>
      <c r="H44" s="447">
        <f t="shared" ca="1" si="4"/>
        <v>2.3920813857574923E-2</v>
      </c>
      <c r="I44" s="328"/>
      <c r="J44" s="328"/>
      <c r="K44" s="385"/>
    </row>
    <row r="45" spans="1:11" ht="15" customHeight="1">
      <c r="A45" s="35"/>
      <c r="B45" s="35"/>
      <c r="C45" s="35"/>
      <c r="D45" s="35"/>
      <c r="E45" s="35"/>
      <c r="F45" s="35"/>
      <c r="G45" s="35"/>
      <c r="H45" s="40"/>
      <c r="I45" s="328"/>
      <c r="J45" s="328"/>
      <c r="K45" s="385"/>
    </row>
    <row r="46" spans="1:11" ht="15" customHeight="1">
      <c r="A46" s="35"/>
      <c r="B46" s="35"/>
      <c r="C46" s="35"/>
      <c r="D46" s="35"/>
      <c r="E46" s="35"/>
      <c r="F46" s="35"/>
      <c r="G46" s="35"/>
      <c r="H46" s="40"/>
      <c r="I46" s="40"/>
      <c r="J46" s="385"/>
      <c r="K46" s="385"/>
    </row>
    <row r="47" spans="1:11" ht="15" customHeight="1">
      <c r="A47" s="35"/>
      <c r="B47" s="35"/>
      <c r="C47" s="35"/>
      <c r="D47" s="35"/>
      <c r="E47" s="35"/>
      <c r="F47" s="35"/>
      <c r="G47" s="35"/>
      <c r="H47" s="35"/>
      <c r="I47" s="35"/>
    </row>
    <row r="48" spans="1:11">
      <c r="A48" s="35"/>
      <c r="B48" s="35"/>
      <c r="C48" s="35"/>
      <c r="D48" s="35"/>
      <c r="E48" s="35"/>
      <c r="F48" s="35"/>
      <c r="G48" s="35"/>
      <c r="H48" s="35"/>
      <c r="I48" s="35"/>
    </row>
    <row r="49" spans="1:9" s="62" customFormat="1" ht="15" customHeight="1">
      <c r="A49" s="41"/>
      <c r="B49" s="41"/>
      <c r="C49" s="41"/>
      <c r="D49" s="41"/>
      <c r="E49" s="41"/>
      <c r="F49" s="45"/>
      <c r="G49" s="46"/>
      <c r="H49" s="46"/>
      <c r="I49" s="45" t="str">
        <f ca="1">"Quelle: EC "&amp;_xll.PALO.DATA("jedoxtest/EU_PM_CUBE02","#_Datenstand","reference_month",Datenstand)&amp;"/"&amp;_xll.PALO.DATA("jedoxtest/EU_PM_CUBE02","#_Datenstand","reference_year",Datenstand)&amp;"; Darstellung FFG"</f>
        <v>Quelle: EC 5/2026; Darstellung FFG</v>
      </c>
    </row>
    <row r="50" spans="1:9" s="62" customFormat="1" ht="15" customHeight="1">
      <c r="A50" s="41"/>
      <c r="B50" s="41"/>
      <c r="C50" s="41"/>
      <c r="D50" s="41"/>
      <c r="E50" s="41"/>
      <c r="F50" s="70"/>
      <c r="G50" s="71"/>
      <c r="H50" s="71"/>
      <c r="I50" s="45"/>
    </row>
    <row r="51" spans="1:9" ht="15" customHeight="1">
      <c r="A51" s="35"/>
      <c r="B51" s="35"/>
      <c r="C51" s="35"/>
      <c r="D51" s="35"/>
      <c r="E51" s="35"/>
      <c r="F51" s="35"/>
      <c r="G51" s="35"/>
      <c r="H51" s="35"/>
      <c r="I51" s="35"/>
    </row>
    <row r="55" spans="1:9" hidden="1">
      <c r="A55" s="39" t="b">
        <f ca="1">_xll.PALO.HIDEROW(ISBLANK($A$1))</f>
        <v>1</v>
      </c>
      <c r="B55" s="61" t="s">
        <v>191</v>
      </c>
      <c r="C55" s="61" t="str">
        <f ca="1">_xll.PALO.ENAME("jedoxtest/EU_PM_CUBE02","Datenstand",3)</f>
        <v>117</v>
      </c>
    </row>
    <row r="56" spans="1:9">
      <c r="B56" s="61" t="s">
        <v>166</v>
      </c>
      <c r="C56" s="61" t="str">
        <f ca="1">_xll.PALO.ENAME("jedoxtest/EU_PM_CUBE02","Datenstand",2)</f>
        <v>42</v>
      </c>
    </row>
  </sheetData>
  <mergeCells count="1">
    <mergeCell ref="B3:H3"/>
  </mergeCells>
  <pageMargins left="0.70866141732283472" right="0.70866141732283472" top="0.74803149606299213" bottom="0.74803149606299213" header="0.31496062992125984" footer="0.31496062992125984"/>
  <pageSetup paperSize="9" scale="71"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3">
    <tabColor rgb="FF00B0F0"/>
    <pageSetUpPr fitToPage="1"/>
  </sheetPr>
  <dimension ref="A1:H28"/>
  <sheetViews>
    <sheetView zoomScaleNormal="100" workbookViewId="0">
      <selection activeCell="D13" sqref="D13"/>
    </sheetView>
  </sheetViews>
  <sheetFormatPr baseColWidth="10" defaultColWidth="14.5703125" defaultRowHeight="15"/>
  <cols>
    <col min="1" max="1" width="14.5703125" style="161"/>
    <col min="2" max="2" width="22.5703125" style="161" hidden="1" customWidth="1"/>
    <col min="3" max="3" width="28.42578125" style="161" customWidth="1"/>
    <col min="4" max="4" width="17.42578125" style="161" customWidth="1"/>
    <col min="5" max="5" width="18.42578125" style="161" customWidth="1"/>
    <col min="6" max="7" width="20" style="161" customWidth="1"/>
    <col min="8" max="16384" width="14.5703125" style="161"/>
  </cols>
  <sheetData>
    <row r="1" spans="1:8" ht="15" customHeight="1">
      <c r="B1" s="161" t="b">
        <f ca="1">_xll.PALO.HIDECOLUMN(ISBLANK($A$1))</f>
        <v>1</v>
      </c>
    </row>
    <row r="2" spans="1:8" hidden="1">
      <c r="A2" s="161" t="b">
        <f ca="1">_xll.PALO.HIDEROW(ISBLANK($A$1))</f>
        <v>1</v>
      </c>
    </row>
    <row r="3" spans="1:8" ht="28.5" customHeight="1">
      <c r="C3" s="739" t="str">
        <f ca="1">"Österreich in "&amp;_xll.PALO.DATA("jedoxtest/EU_PM_CUBE02","#_Datenstand","frameworkprog_long",Datenstand)&amp;" nach Organisationstypen"</f>
        <v>Österreich in Horizon Europe nach Organisationstypen</v>
      </c>
      <c r="D3" s="739"/>
      <c r="E3" s="739"/>
      <c r="F3" s="739"/>
      <c r="G3" s="739"/>
      <c r="H3" s="449"/>
    </row>
    <row r="4" spans="1:8" s="302" customFormat="1">
      <c r="C4" s="303"/>
    </row>
    <row r="5" spans="1:8" s="302" customFormat="1">
      <c r="C5" s="303"/>
    </row>
    <row r="6" spans="1:8" ht="16.5" customHeight="1">
      <c r="D6" s="613" t="s">
        <v>1</v>
      </c>
      <c r="E6" s="613" t="s">
        <v>109</v>
      </c>
      <c r="F6" s="613" t="s">
        <v>3</v>
      </c>
      <c r="G6" s="613" t="s">
        <v>108</v>
      </c>
    </row>
    <row r="7" spans="1:8" ht="15" customHeight="1">
      <c r="B7" s="161" t="s">
        <v>22</v>
      </c>
      <c r="C7" s="521" t="s">
        <v>22</v>
      </c>
      <c r="D7" s="259">
        <f ca="1">_xll.PALO.DATAC("jedoxtest/EU_PM_CUBE02","EUPM_Mittel2_Cube",Datenstand,"Alle Beteiligungen","Alle Koordinatoren","Alle Unternehmensgrößen","-2","Alle Organisationstypen",28,"Alle Expertevaluierungsstatus","-2","-2",1,"-2","Alle","-2","anzahl_beteiligungen")</f>
        <v>3919</v>
      </c>
      <c r="E7" s="259">
        <f ca="1">_xll.PALO.DATAC("jedoxtest/EU_PM_CUBE02","EUPM_Mittel2_Cube",Datenstand,"Alle Beteiligungen","Alle Koordinatoren","Alle Unternehmensgrößen","-2","Alle Organisationstypen",28,"Alle Expertevaluierungsstatus","-2","-2",1,"-2","Alle","-2","foerderung")</f>
        <v>1856201567.4500101</v>
      </c>
      <c r="F7" s="259">
        <f ca="1">_xll.PALO.DATAC("jedoxtest/EU_PM_CUBE02","EUPM_Mittel2_Cube",Datenstand,"Alle Beteiligungen","Alle Koordinatoren","Alle Unternehmensgrößen","-2","Alle Organisationstypen",28,"Alle Expertevaluierungsstatus","-2","-2",1,"-2","Alle","-2","anzahl_koordinatoren")</f>
        <v>774</v>
      </c>
      <c r="G7" s="516">
        <f ca="1">_xll.PALO.DATAC("jedoxtest/EU_PM_CUBE02","EUPM_Mittel2_Cube",Datenstand,"Alle Beteiligungen","Alle Koordinatoren","Alle Unternehmensgrößen","-2","Alle Organisationstypen",14,"Alle Expertevaluierungsstatus","-2","-2",1,"-2","Alle","-2","anzahl_beteiligungen")/_xll.PALO.DATAC("jedoxtest/EU_PM_CUBE02","EUPM_Mittel2_Cube",Datenstand,"Alle Beteiligungen","Alle Koordinatoren","Alle Unternehmensgrößen","-2","Alle Organisationstypen",5,"Alle Expertevaluierungsstatus","-2","-2",1,"-2","Alle","-2","anzahl_beteiligungen")</f>
        <v>0.18853848762292302</v>
      </c>
    </row>
    <row r="8" spans="1:8" ht="17.100000000000001" customHeight="1">
      <c r="B8" s="161">
        <v>1</v>
      </c>
      <c r="C8" s="75" t="str">
        <f ca="1">_xll.PALO.DATAC("jedoxtest/EU_PM_CUBE02","#_Organisationstyp","ffg_Bezeichnung",$B8)</f>
        <v>Hochschule</v>
      </c>
      <c r="D8" s="163">
        <f ca="1">_xll.PALO.DATAC("jedoxtest/EU_PM_CUBE02","EUPM_Mittel2_Cube",Datenstand,"Alle Beteiligungen","Alle Koordinatoren","Alle Unternehmensgrößen","-2",$B8,28,"Alle Expertevaluierungsstatus","-2","-2",1,"-2","Alle","-2","anzahl_beteiligungen")</f>
        <v>1365</v>
      </c>
      <c r="E8" s="163">
        <f ca="1">_xll.PALO.DATAC("jedoxtest/EU_PM_CUBE02","EUPM_Mittel2_Cube",Datenstand,"Alle Beteiligungen","Alle Koordinatoren","Alle Unternehmensgrößen","-2",$B8,28,"Alle Expertevaluierungsstatus","-2","-2",1,"-2","Alle","-2","foerderung")</f>
        <v>775150030.02999997</v>
      </c>
      <c r="F8" s="163">
        <f ca="1">_xll.PALO.DATAC("jedoxtest/EU_PM_CUBE02","EUPM_Mittel2_Cube",Datenstand,"Alle Beteiligungen","Alle Koordinatoren","Alle Unternehmensgrößen","-2",$B8,28,"Alle Expertevaluierungsstatus","-2","-2",1,"-2","Alle","-2","anzahl_koordinatoren")</f>
        <v>477</v>
      </c>
      <c r="G8" s="119">
        <f ca="1">_xll.PALO.DATAC("jedoxtest/EU_PM_CUBE02","EUPM_Mittel2_Cube",Datenstand,"Alle Beteiligungen","Alle Koordinatoren","Alle Unternehmensgrößen","-2",$B8,14,"Alle Expertevaluierungsstatus","-2","-2",1,"-2","Alle","-2","anzahl_beteiligungen")/_xll.PALO.DATAC("jedoxtest/EU_PM_CUBE02","EUPM_Mittel2_Cube",Datenstand,"Alle Beteiligungen","Alle Koordinatoren","Alle Unternehmensgrößen","-2",$B8,5,"Alle Expertevaluierungsstatus","-2","-2",1,"-2","Alle","-2","anzahl_beteiligungen")</f>
        <v>0.16009221311475411</v>
      </c>
    </row>
    <row r="9" spans="1:8" ht="17.100000000000001" customHeight="1">
      <c r="B9" s="161">
        <v>2</v>
      </c>
      <c r="C9" s="76" t="str">
        <f ca="1">_xll.PALO.DATAC("jedoxtest/EU_PM_CUBE02","#_Organisationstyp","ffg_Bezeichnung",$B9)</f>
        <v>Unternehmen</v>
      </c>
      <c r="D9" s="162">
        <f ca="1">_xll.PALO.DATAC("jedoxtest/EU_PM_CUBE02","EUPM_Mittel2_Cube",Datenstand,"Alle Beteiligungen","Alle Koordinatoren","Alle Unternehmensgrößen","-2",$B9,28,"Alle Expertevaluierungsstatus","-2","-2",1,"-2","Alle","-2","anzahl_beteiligungen")</f>
        <v>1138</v>
      </c>
      <c r="E9" s="162">
        <f ca="1">_xll.PALO.DATAC("jedoxtest/EU_PM_CUBE02","EUPM_Mittel2_Cube",Datenstand,"Alle Beteiligungen","Alle Koordinatoren","Alle Unternehmensgrößen","-2",$B9,28,"Alle Expertevaluierungsstatus","-2","-2",1,"-2","Alle","-2","foerderung")</f>
        <v>399175121.76999998</v>
      </c>
      <c r="F9" s="162">
        <f ca="1">_xll.PALO.DATAC("jedoxtest/EU_PM_CUBE02","EUPM_Mittel2_Cube",Datenstand,"Alle Beteiligungen","Alle Koordinatoren","Alle Unternehmensgrößen","-2",$B9,28,"Alle Expertevaluierungsstatus","-2","-2",1,"-2","Alle","-2","anzahl_koordinatoren")</f>
        <v>74</v>
      </c>
      <c r="G9" s="120">
        <f ca="1">_xll.PALO.DATAC("jedoxtest/EU_PM_CUBE02","EUPM_Mittel2_Cube",Datenstand,"Alle Beteiligungen","Alle Koordinatoren","Alle Unternehmensgrößen","-2",$B9,14,"Alle Expertevaluierungsstatus","-2","-2",1,"-2","Alle","-2","anzahl_beteiligungen")/_xll.PALO.DATAC("jedoxtest/EU_PM_CUBE02","EUPM_Mittel2_Cube",Datenstand,"Alle Beteiligungen","Alle Koordinatoren","Alle Unternehmensgrößen","-2",$B9,5,"Alle Expertevaluierungsstatus","-2","-2",1,"-2","Alle","-2","anzahl_beteiligungen")</f>
        <v>0.1997680967367898</v>
      </c>
    </row>
    <row r="10" spans="1:8" ht="17.100000000000001" customHeight="1">
      <c r="B10" s="161">
        <v>5</v>
      </c>
      <c r="C10" s="76" t="str">
        <f ca="1">_xll.PALO.DATAC("jedoxtest/EU_PM_CUBE02","#_Organisationstyp","ffg_Bezeichnung",$B10)</f>
        <v>Auniv.Forschung</v>
      </c>
      <c r="D10" s="162">
        <f ca="1">_xll.PALO.DATAC("jedoxtest/EU_PM_CUBE02","EUPM_Mittel2_Cube",Datenstand,"Alle Beteiligungen","Alle Koordinatoren","Alle Unternehmensgrößen","-2",$B10,28,"Alle Expertevaluierungsstatus","-2","-2",1,"-2","Alle","-2","anzahl_beteiligungen")</f>
        <v>1041</v>
      </c>
      <c r="E10" s="162">
        <f ca="1">_xll.PALO.DATAC("jedoxtest/EU_PM_CUBE02","EUPM_Mittel2_Cube",Datenstand,"Alle Beteiligungen","Alle Koordinatoren","Alle Unternehmensgrößen","-2",$B10,28,"Alle Expertevaluierungsstatus","-2","-2",1,"-2","Alle","-2","foerderung")</f>
        <v>526767257.48000002</v>
      </c>
      <c r="F10" s="162">
        <f ca="1">_xll.PALO.DATAC("jedoxtest/EU_PM_CUBE02","EUPM_Mittel2_Cube",Datenstand,"Alle Beteiligungen","Alle Koordinatoren","Alle Unternehmensgrößen","-2",$B10,28,"Alle Expertevaluierungsstatus","-2","-2",1,"-2","Alle","-2","anzahl_koordinatoren")</f>
        <v>206</v>
      </c>
      <c r="G10" s="120">
        <f ca="1">_xll.PALO.DATAC("jedoxtest/EU_PM_CUBE02","EUPM_Mittel2_Cube",Datenstand,"Alle Beteiligungen","Alle Koordinatoren","Alle Unternehmensgrößen","-2",$B10,14,"Alle Expertevaluierungsstatus","-2","-2",1,"-2","Alle","-2","anzahl_beteiligungen")/_xll.PALO.DATAC("jedoxtest/EU_PM_CUBE02","EUPM_Mittel2_Cube",Datenstand,"Alle Beteiligungen","Alle Koordinatoren","Alle Unternehmensgrößen","-2",$B10,5,"Alle Expertevaluierungsstatus","-2","-2",1,"-2","Alle","-2","anzahl_beteiligungen")</f>
        <v>0.20245518316445829</v>
      </c>
    </row>
    <row r="11" spans="1:8" ht="17.100000000000001" customHeight="1">
      <c r="B11" s="161">
        <v>4</v>
      </c>
      <c r="C11" s="76" t="str">
        <f ca="1">_xll.PALO.DATAC("jedoxtest/EU_PM_CUBE02","#_Organisationstyp","ffg_Bezeichnung",$B11)</f>
        <v>Öff.Institution</v>
      </c>
      <c r="D11" s="162">
        <f ca="1">_xll.PALO.DATAC("jedoxtest/EU_PM_CUBE02","EUPM_Mittel2_Cube",Datenstand,"Alle Beteiligungen","Alle Koordinatoren","Alle Unternehmensgrößen","-2",$B11,28,"Alle Expertevaluierungsstatus","-2","-2",1,"-2","Alle","-2","anzahl_beteiligungen")</f>
        <v>122</v>
      </c>
      <c r="E11" s="162">
        <f ca="1">_xll.PALO.DATAC("jedoxtest/EU_PM_CUBE02","EUPM_Mittel2_Cube",Datenstand,"Alle Beteiligungen","Alle Koordinatoren","Alle Unternehmensgrößen","-2",$B11,28,"Alle Expertevaluierungsstatus","-2","-2",1,"-2","Alle","-2","foerderung")</f>
        <v>46747749.289999999</v>
      </c>
      <c r="F11" s="162">
        <f ca="1">_xll.PALO.DATAC("jedoxtest/EU_PM_CUBE02","EUPM_Mittel2_Cube",Datenstand,"Alle Beteiligungen","Alle Koordinatoren","Alle Unternehmensgrößen","-2",$B11,28,"Alle Expertevaluierungsstatus","-2","-2",1,"-2","Alle","-2","anzahl_koordinatoren")</f>
        <v>4</v>
      </c>
      <c r="G11" s="120">
        <f ca="1">_xll.PALO.DATAC("jedoxtest/EU_PM_CUBE02","EUPM_Mittel2_Cube",Datenstand,"Alle Beteiligungen","Alle Koordinatoren","Alle Unternehmensgrößen","-2",$B11,14,"Alle Expertevaluierungsstatus","-2","-2",1,"-2","Alle","-2","anzahl_beteiligungen")/_xll.PALO.DATAC("jedoxtest/EU_PM_CUBE02","EUPM_Mittel2_Cube",Datenstand,"Alle Beteiligungen","Alle Koordinatoren","Alle Unternehmensgrößen","-2",$B11,5,"Alle Expertevaluierungsstatus","-2","-2",1,"-2","Alle","-2","anzahl_beteiligungen")</f>
        <v>0.35584415584415585</v>
      </c>
    </row>
    <row r="12" spans="1:8" ht="17.100000000000001" customHeight="1">
      <c r="B12" s="161">
        <v>3</v>
      </c>
      <c r="C12" s="77" t="str">
        <f ca="1">_xll.PALO.DATAC("jedoxtest/EU_PM_CUBE02","#_Organisationstyp","ffg_Bezeichnung",$B12)</f>
        <v>Sonstige</v>
      </c>
      <c r="D12" s="304">
        <f ca="1">_xll.PALO.DATAC("jedoxtest/EU_PM_CUBE02","EUPM_Mittel2_Cube",Datenstand,"Alle Beteiligungen","Alle Koordinatoren","Alle Unternehmensgrößen","-2",$B12,28,"Alle Expertevaluierungsstatus","-2","-2",1,"-2","Alle","-2","anzahl_beteiligungen")</f>
        <v>253</v>
      </c>
      <c r="E12" s="304">
        <f ca="1">_xll.PALO.DATAC("jedoxtest/EU_PM_CUBE02","EUPM_Mittel2_Cube",Datenstand,"Alle Beteiligungen","Alle Koordinatoren","Alle Unternehmensgrößen","-2",$B12,28,"Alle Expertevaluierungsstatus","-2","-2",1,"-2","Alle","-2","foerderung")</f>
        <v>108361408.88</v>
      </c>
      <c r="F12" s="304">
        <f ca="1">_xll.PALO.DATAC("jedoxtest/EU_PM_CUBE02","EUPM_Mittel2_Cube",Datenstand,"Alle Beteiligungen","Alle Koordinatoren","Alle Unternehmensgrößen","-2",$B12,28,"Alle Expertevaluierungsstatus","-2","-2",1,"-2","Alle","-2","anzahl_koordinatoren")</f>
        <v>13</v>
      </c>
      <c r="G12" s="121">
        <f ca="1">_xll.PALO.DATAC("jedoxtest/EU_PM_CUBE02","EUPM_Mittel2_Cube",Datenstand,"Alle Beteiligungen","Alle Koordinatoren","Alle Unternehmensgrößen","-2",$B12,14,"Alle Expertevaluierungsstatus","-2","-2",1,"-2","Alle","-2","anzahl_beteiligungen")/_xll.PALO.DATAC("jedoxtest/EU_PM_CUBE02","EUPM_Mittel2_Cube",Datenstand,"Alle Beteiligungen","Alle Koordinatoren","Alle Unternehmensgrößen","-2",$B12,5,"Alle Expertevaluierungsstatus","-2","-2",1,"-2","Alle","-2","anzahl_beteiligungen")</f>
        <v>0.2029664324746292</v>
      </c>
    </row>
    <row r="13" spans="1:8">
      <c r="C13" s="118"/>
      <c r="D13" s="118"/>
      <c r="E13" s="118"/>
      <c r="F13" s="118"/>
      <c r="G13" s="118"/>
    </row>
    <row r="14" spans="1:8" ht="63" customHeight="1">
      <c r="C14" s="738" t="s">
        <v>273</v>
      </c>
      <c r="D14" s="738"/>
      <c r="E14" s="738"/>
      <c r="F14" s="738"/>
      <c r="G14" s="738"/>
    </row>
    <row r="15" spans="1:8" s="302" customFormat="1">
      <c r="C15" s="306"/>
      <c r="D15" s="306"/>
      <c r="E15" s="306"/>
      <c r="F15" s="306"/>
      <c r="G15" s="306"/>
    </row>
    <row r="16" spans="1:8" ht="16.5" customHeight="1">
      <c r="C16" s="118"/>
      <c r="D16" s="248" t="s">
        <v>1</v>
      </c>
      <c r="E16" s="248" t="s">
        <v>109</v>
      </c>
      <c r="F16" s="248" t="s">
        <v>3</v>
      </c>
      <c r="G16" s="372" t="s">
        <v>108</v>
      </c>
    </row>
    <row r="17" spans="1:8" ht="17.100000000000001" customHeight="1">
      <c r="C17" s="305" t="s">
        <v>131</v>
      </c>
      <c r="D17" s="145">
        <f ca="1">_xll.PALO.DATAC("jedoxtest/EU_PM_CUBE02","EUPM_Mittel2_Cube",Datenstand,"Alle Beteiligungen","Alle Koordinatoren",1,"-2","Alle Organisationstypen",$D$28,"Alle Expertevaluierungsstatus","-2","-2",1,"-2","Alle","-2","anzahl_beteiligungen")</f>
        <v>732</v>
      </c>
      <c r="E17" s="145">
        <f ca="1">_xll.PALO.DATAC("jedoxtest/EU_PM_CUBE02","EUPM_Mittel2_Cube",Datenstand,"Alle Beteiligungen","Alle Koordinatoren",1,"-2","Alle Organisationstypen",$D$28,"Alle Expertevaluierungsstatus","-2","-2",1,"-2","Alle","-2","foerderung")</f>
        <v>259530855.80000001</v>
      </c>
      <c r="F17" s="145">
        <f ca="1">_xll.PALO.DATAC("jedoxtest/EU_PM_CUBE02","EUPM_Mittel2_Cube",Datenstand,"Alle Beteiligungen","Alle Koordinatoren",1,"-2","Alle Organisationstypen",$D$28,"Alle Expertevaluierungsstatus","-2","-2",1,"-2","Alle","-2","anzahl_koordinatoren")</f>
        <v>80</v>
      </c>
      <c r="G17" s="371">
        <f ca="1">_xll.PALO.DATAC("jedoxtest/EU_PM_CUBE02","EUPM_Mittel2_Cube",Datenstand,"Alle Beteiligungen","Alle Koordinatoren",1,"-2","Alle Organisationstypen",28,"Alle Expertevaluierungsstatus","-2","-2",1,"-2","Alle","-2","anzahl_beteiligungen")/_xll.PALO.DATAC("jedoxtest/EU_PM_CUBE02","EUPM_Mittel2_Cube",Datenstand,"Alle Beteiligungen","Alle Koordinatoren",1,"-2","Alle Organisationstypen",5,"Alle Expertevaluierungsstatus","-2","-2",1,"-2","Alle","-2","anzahl_beteiligungen")</f>
        <v>0.17062937062937064</v>
      </c>
    </row>
    <row r="18" spans="1:8" s="302" customFormat="1" ht="17.100000000000001" customHeight="1">
      <c r="B18" s="302">
        <v>2</v>
      </c>
      <c r="C18" s="448" t="s">
        <v>132</v>
      </c>
      <c r="D18" s="259">
        <f ca="1">_xll.PALO.DATAC("jedoxtest/EU_PM_CUBE02","EUPM_Mittel2_Cube",Datenstand,"Alle Beteiligungen","Alle Koordinatoren",1,"-2",$B$18,$D$28,"Alle Expertevaluierungsstatus","-2","-2",1,"-2","Alle","-2","anzahl_beteiligungen")</f>
        <v>526</v>
      </c>
      <c r="E18" s="259">
        <f ca="1">_xll.PALO.DATAC("jedoxtest/EU_PM_CUBE02","EUPM_Mittel2_Cube",Datenstand,"Alle Beteiligungen","Alle Koordinatoren",1,"-2",$B$18,$D$28,"Alle Expertevaluierungsstatus","-2","-2",1,"-2","Alle","-2","foerderung")</f>
        <v>171343582.44</v>
      </c>
      <c r="F18" s="259">
        <f ca="1">_xll.PALO.DATAC("jedoxtest/EU_PM_CUBE02","EUPM_Mittel2_Cube",Datenstand,"Alle Beteiligungen","Alle Koordinatoren",1,"-2",$B$18,$D$28,"Alle Expertevaluierungsstatus","-2","-2",1,"-2","Alle","-2","anzahl_koordinatoren")</f>
        <v>45</v>
      </c>
      <c r="G18" s="373">
        <f ca="1">_xll.PALO.DATAC("jedoxtest/EU_PM_CUBE02","EUPM_Mittel2_Cube",Datenstand,"Alle Beteiligungen","Alle Koordinatoren",1,"-2",$B$18,28,"Alle Expertevaluierungsstatus","-2","-2",1,"-2","Alle","-2","anzahl_beteiligungen")/_xll.PALO.DATAC("jedoxtest/EU_PM_CUBE02","EUPM_Mittel2_Cube",Datenstand,"Alle Beteiligungen","Alle Koordinatoren",1,"-2",$B$18,5,"Alle Expertevaluierungsstatus","-2","-2",1,"-2","Alle","-2","anzahl_beteiligungen")</f>
        <v>0.16593059936908516</v>
      </c>
    </row>
    <row r="19" spans="1:8" ht="15" customHeight="1">
      <c r="C19" s="118"/>
    </row>
    <row r="20" spans="1:8" ht="15" customHeight="1"/>
    <row r="21" spans="1:8" ht="15" customHeight="1">
      <c r="F21" s="705" t="str">
        <f ca="1">"Quelle: EC "&amp;_xll.PALO.DATA("jedoxtest/EU_PM_CUBE02","#_Datenstand","reference_month",Datenstand)&amp;"/"&amp;_xll.PALO.DATA("jedoxtest/EU_PM_CUBE02","#_Datenstand","reference_year",Datenstand)&amp;"; Darstellung FFG"</f>
        <v>Quelle: EC 5/2026; Darstellung FFG</v>
      </c>
      <c r="G21" s="705"/>
      <c r="H21" s="70"/>
    </row>
    <row r="22" spans="1:8" ht="15" customHeight="1">
      <c r="G22" s="70"/>
      <c r="H22" s="71"/>
    </row>
    <row r="23" spans="1:8" ht="15" customHeight="1"/>
    <row r="27" spans="1:8" hidden="1">
      <c r="A27" s="161" t="b">
        <f ca="1">_xll.PALO.HIDEROW(ISBLANK($A$1))</f>
        <v>1</v>
      </c>
      <c r="C27" s="161" t="s">
        <v>191</v>
      </c>
      <c r="D27" s="161" t="str">
        <f ca="1">_xll.PALO.ENAME("jedoxtest/EU_PM_CUBE02","Datenstand",3)</f>
        <v>117</v>
      </c>
    </row>
    <row r="28" spans="1:8" hidden="1">
      <c r="A28" s="302" t="b">
        <f ca="1">_xll.PALO.HIDEROW(ISBLANK($A$1))</f>
        <v>1</v>
      </c>
      <c r="C28" s="161" t="s">
        <v>133</v>
      </c>
      <c r="D28" s="161">
        <v>28</v>
      </c>
    </row>
  </sheetData>
  <mergeCells count="3">
    <mergeCell ref="C14:G14"/>
    <mergeCell ref="F21:G21"/>
    <mergeCell ref="C3:G3"/>
  </mergeCells>
  <pageMargins left="0.70866141732283472" right="0.70866141732283472" top="0.74803149606299213" bottom="0.74803149606299213" header="0.31496062992125984" footer="0.31496062992125984"/>
  <pageSetup paperSize="9" scale="83" orientation="portrait"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9">
    <tabColor rgb="FF00B0F0"/>
    <pageSetUpPr fitToPage="1"/>
  </sheetPr>
  <dimension ref="A1:X17"/>
  <sheetViews>
    <sheetView zoomScaleNormal="100" workbookViewId="0">
      <selection activeCell="C7" sqref="C7"/>
    </sheetView>
  </sheetViews>
  <sheetFormatPr baseColWidth="10" defaultColWidth="11.42578125" defaultRowHeight="15"/>
  <cols>
    <col min="1" max="1" width="4.28515625" style="74" customWidth="1"/>
    <col min="2" max="2" width="22.140625" style="74" hidden="1" customWidth="1"/>
    <col min="3" max="3" width="24.42578125" style="74" customWidth="1"/>
    <col min="4" max="6" width="13.85546875" style="74" customWidth="1"/>
    <col min="7" max="7" width="13.85546875" style="74" hidden="1" customWidth="1"/>
    <col min="8" max="10" width="13.85546875" style="74" customWidth="1"/>
    <col min="11" max="11" width="13.85546875" style="74" hidden="1" customWidth="1"/>
    <col min="12" max="14" width="13.85546875" style="74" customWidth="1"/>
    <col min="15" max="15" width="11.28515625" style="74" hidden="1" customWidth="1"/>
    <col min="16" max="16" width="7.28515625" style="74" hidden="1" customWidth="1"/>
    <col min="17" max="17" width="4.42578125" style="74" hidden="1" customWidth="1"/>
    <col min="18" max="18" width="45" style="74" hidden="1" customWidth="1"/>
    <col min="19" max="19" width="11.28515625" style="74" hidden="1" customWidth="1"/>
    <col min="20" max="20" width="9" style="74" hidden="1" customWidth="1"/>
    <col min="21" max="21" width="9.42578125" style="74" hidden="1" customWidth="1"/>
    <col min="22" max="22" width="45" style="74" hidden="1" customWidth="1"/>
    <col min="23" max="23" width="3.28515625" style="74" customWidth="1"/>
    <col min="24" max="16384" width="11.42578125" style="74"/>
  </cols>
  <sheetData>
    <row r="1" spans="2:24" ht="15" customHeight="1">
      <c r="B1" s="165"/>
      <c r="G1" s="74" t="b">
        <f ca="1">_xll.PALO.HIDECOLUMN(ISBLANK($A$1))</f>
        <v>1</v>
      </c>
      <c r="K1" s="74" t="b">
        <f ca="1">_xll.PALO.HIDECOLUMN(ISBLANK($A$1))</f>
        <v>1</v>
      </c>
      <c r="R1" s="74" t="b">
        <f ca="1">_xll.PALO.HIDECOLUMN(ISBLANK($A$1))</f>
        <v>1</v>
      </c>
      <c r="V1" s="74" t="b">
        <f ca="1">_xll.PALO.HIDECOLUMN(ISBLANK($A$1))</f>
        <v>1</v>
      </c>
    </row>
    <row r="2" spans="2:24" ht="25.5" customHeight="1">
      <c r="C2" s="176" t="str">
        <f ca="1">"Einreichungen, Bewilligungen und Erfolgsquote in "&amp;_xll.PALO.DATA("jedoxtest/EU_PM_CUBE02","#_Datenstand","frameworkprog_long",Datenstand)&amp;" nach Organisationstypen"</f>
        <v>Einreichungen, Bewilligungen und Erfolgsquote in Horizon Europe nach Organisationstypen</v>
      </c>
      <c r="D2" s="177"/>
      <c r="E2" s="177"/>
      <c r="F2" s="177"/>
      <c r="G2" s="177"/>
      <c r="H2" s="177"/>
      <c r="I2" s="177"/>
      <c r="J2" s="177"/>
      <c r="K2" s="177"/>
      <c r="L2" s="177"/>
      <c r="M2" s="177"/>
      <c r="N2" s="178"/>
      <c r="O2" s="178"/>
      <c r="P2" s="178"/>
      <c r="Q2" s="178"/>
      <c r="R2" s="178"/>
      <c r="S2" s="178"/>
      <c r="T2" s="178"/>
      <c r="U2" s="178"/>
      <c r="V2" s="178"/>
    </row>
    <row r="3" spans="2:24" ht="21.75" customHeight="1">
      <c r="D3" s="178"/>
      <c r="E3" s="178"/>
      <c r="F3" s="178"/>
      <c r="G3" s="178"/>
      <c r="H3" s="178"/>
      <c r="I3" s="178"/>
      <c r="J3" s="178"/>
      <c r="K3" s="178"/>
      <c r="L3" s="178"/>
      <c r="M3" s="178"/>
      <c r="N3" s="178"/>
      <c r="O3" s="178"/>
      <c r="P3" s="178"/>
      <c r="Q3" s="178"/>
      <c r="R3" s="178"/>
      <c r="S3" s="178"/>
      <c r="T3" s="178"/>
      <c r="U3" s="178"/>
      <c r="V3" s="178"/>
    </row>
    <row r="4" spans="2:24" ht="33" customHeight="1">
      <c r="C4" s="181"/>
      <c r="D4" s="741" t="s">
        <v>239</v>
      </c>
      <c r="E4" s="741"/>
      <c r="F4" s="742"/>
      <c r="G4" s="182" t="s">
        <v>35</v>
      </c>
      <c r="H4" s="741" t="s">
        <v>42</v>
      </c>
      <c r="I4" s="741"/>
      <c r="J4" s="742"/>
      <c r="K4" s="182" t="s">
        <v>35</v>
      </c>
      <c r="L4" s="741" t="str">
        <f>UPPER("Erfolgsquote 
der Beteiligung")</f>
        <v>ERFOLGSQUOTE 
DER BETEILIGUNG</v>
      </c>
      <c r="M4" s="741"/>
      <c r="N4" s="741"/>
      <c r="O4" s="743" t="s">
        <v>37</v>
      </c>
      <c r="P4" s="743"/>
      <c r="Q4" s="743"/>
      <c r="R4" s="183" t="s">
        <v>35</v>
      </c>
      <c r="S4" s="743" t="s">
        <v>36</v>
      </c>
      <c r="T4" s="743"/>
      <c r="U4" s="743"/>
      <c r="V4" s="183" t="s">
        <v>35</v>
      </c>
      <c r="W4" s="181"/>
      <c r="X4" s="181"/>
    </row>
    <row r="5" spans="2:24" ht="17.25" customHeight="1">
      <c r="C5" s="181"/>
      <c r="D5" s="184" t="str">
        <f>UPPER("Alle Staaten")</f>
        <v>ALLE STAATEN</v>
      </c>
      <c r="E5" s="184" t="s">
        <v>167</v>
      </c>
      <c r="F5" s="278" t="s">
        <v>21</v>
      </c>
      <c r="G5" s="184"/>
      <c r="H5" s="184" t="str">
        <f>UPPER("Alle Staaten")</f>
        <v>ALLE STAATEN</v>
      </c>
      <c r="I5" s="184" t="s">
        <v>167</v>
      </c>
      <c r="J5" s="278" t="s">
        <v>21</v>
      </c>
      <c r="K5" s="184"/>
      <c r="L5" s="184" t="str">
        <f>UPPER("Alle Staaten")</f>
        <v>ALLE STAATEN</v>
      </c>
      <c r="M5" s="184" t="s">
        <v>167</v>
      </c>
      <c r="N5" s="184" t="s">
        <v>21</v>
      </c>
      <c r="O5" s="185" t="str">
        <f>UPPER("Alle Staaten")</f>
        <v>ALLE STAATEN</v>
      </c>
      <c r="P5" s="184" t="s">
        <v>167</v>
      </c>
      <c r="Q5" s="185" t="s">
        <v>21</v>
      </c>
      <c r="R5" s="185"/>
      <c r="S5" s="185" t="str">
        <f>UPPER("Alle Staaten")</f>
        <v>ALLE STAATEN</v>
      </c>
      <c r="T5" s="185" t="s">
        <v>167</v>
      </c>
      <c r="U5" s="185" t="s">
        <v>21</v>
      </c>
      <c r="V5" s="185"/>
      <c r="W5" s="181"/>
      <c r="X5" s="181"/>
    </row>
    <row r="6" spans="2:24" ht="15" customHeight="1">
      <c r="B6" s="47" t="s">
        <v>22</v>
      </c>
      <c r="C6" s="258" t="s">
        <v>22</v>
      </c>
      <c r="D6" s="260">
        <f ca="1">_xll.PALO.DATAC("jedoxtest/EU_PM_CUBE02","EUPM_Mittel2_Cube",Datenstand,"Alle Beteiligungen","Alle Koordinatoren","Alle Unternehmensgrößen","-2","Alle Organisationstypen",5,"Alle Expertevaluierungsstatus","-2","-2","-2","-2","Alle","-2","anzahl_beteiligungen")</f>
        <v>753198</v>
      </c>
      <c r="E6" s="260">
        <f ca="1">_xll.PALO.DATAC("jedoxtest/EU_PM_CUBE02","EUPM_Mittel2_Cube",Datenstand,"Alle Beteiligungen","Alle Koordinatoren","Alle Unternehmensgrößen","-2","Alle Organisationstypen",5,"Alle Expertevaluierungsstatus","-2","-2",1000001,"-2","Alle","-2","anzahl_beteiligungen")</f>
        <v>604256</v>
      </c>
      <c r="F6" s="307">
        <f ca="1">_xll.PALO.DATAC("jedoxtest/EU_PM_CUBE02","EUPM_Mittel2_Cube",Datenstand,"Alle Beteiligungen","Alle Koordinatoren","Alle Unternehmensgrößen","-2","Alle Organisationstypen",5,"Alle Expertevaluierungsstatus","-2","-2",1,"-2","Alle","-2","anzahl_beteiligungen")</f>
        <v>20643</v>
      </c>
      <c r="G6" s="279">
        <f ca="1">IFERROR(_xll.PALO.DATAC("jedoxtest/EU_PM_CUBE02","EUPM_Mittel2_Cube",Datenstand,"Alle Beteiligungen","Alle Koordinatoren","Alle Unternehmensgrößen","-2","Alle Organisationstypen",5,"Alle Expertevaluierungsstatus","-2","-2",1,"-2","Alle","-2","anzahl_beteiligungen")/_xll.PALO.DATAC("jedoxtest/EU_PM_CUBE02","EUPM_Mittel2_Cube",Datenstand,"Alle Beteiligungen","Alle Koordinatoren","Alle Unternehmensgrößen","-2","Alle Organisationstypen",5,"Alle Expertevaluierungsstatus","-2","-2",-2,"-2","Alle","-2","anzahl_beteiligungen"),"-  ")</f>
        <v>2.7407135972214478E-2</v>
      </c>
      <c r="H6" s="260">
        <f ca="1">_xll.PALO.DATAC("jedoxtest/EU_PM_CUBE02","EUPM_Mittel2_Cube",Datenstand,"Alle Beteiligungen","Alle Koordinatoren","Alle Unternehmensgrößen","-2","Alle Organisationstypen",14,"Alle Expertevaluierungsstatus","-2","-2","-2","-2","Alle","-2","anzahl_beteiligungen")</f>
        <v>135897</v>
      </c>
      <c r="I6" s="260">
        <f ca="1">_xll.PALO.DATAC("jedoxtest/EU_PM_CUBE02","EUPM_Mittel2_Cube",Datenstand,"Alle Beteiligungen","Alle Koordinatoren","Alle Unternehmensgrößen","-2","Alle Organisationstypen",14,"Alle Expertevaluierungsstatus","-2","-2",1000001,"-2","Alle","-2","anzahl_beteiligungen")</f>
        <v>110376</v>
      </c>
      <c r="J6" s="307">
        <f ca="1">_xll.PALO.DATAC("jedoxtest/EU_PM_CUBE02","EUPM_Mittel2_Cube",Datenstand,"Alle Beteiligungen","Alle Koordinatoren","Alle Unternehmensgrößen","-2","Alle Organisationstypen",14,"Alle Expertevaluierungsstatus","-2","-2",1,"-2","Alle","-2","anzahl_beteiligungen")</f>
        <v>3892</v>
      </c>
      <c r="K6" s="279" t="str">
        <f ca="1">IFERROR(_xll.PALO.DATAC("jedoxtest/EU_PM_CUBE02","EUPM_Mittel2_Cube",Datenstand,"Alle Beteiligungen","Alle Koordinatoren","Alle Unternehmensgrößen","-2","Alle Organisationstypen",14,"Alle Expertevaluierungsstatus","-2","-2",1,"-2","Alle","-2","anzahl_beteiligungen")/_xll.PALO.DATAC("jedoxtest/EU_PM_CUBE02","EUPM_Mittel2_Cube",Datenstand,"Alle Beteiligungen","Alle Koordinatoren","Alle Unternehmensgrößen","-2","Alle Organisationstypen",14,"Alle Expertevaluierungsstatus",$B6,"-2",-2,"-2","Alle","-2","anzahl_beteiligungen"),"-  ")</f>
        <v xml:space="preserve">-  </v>
      </c>
      <c r="L6" s="279">
        <f t="shared" ref="L6:N7" ca="1" si="0">IFERROR(H6/D6,"-   ")</f>
        <v>0.18042666071869548</v>
      </c>
      <c r="M6" s="279">
        <f t="shared" ca="1" si="0"/>
        <v>0.18266430122332256</v>
      </c>
      <c r="N6" s="279">
        <f t="shared" ca="1" si="0"/>
        <v>0.18853848762292302</v>
      </c>
      <c r="O6" s="179">
        <f ca="1">_xll.PALO.DATAC("jedoxtest/EU_PM_CUBE02","EUPM_Mittel2_Cube",Datenstand,"Alle Beteiligungen","Alle Koordinatoren","Alle Unternehmensgrößen","-2","Alle Organisationstypen",14,"Alle Expertevaluierungsstatus","-2","-2","-2","-2","Alle","-2","anzahl_koordinatoren")</f>
        <v>24193</v>
      </c>
      <c r="P6" s="179">
        <f ca="1">_xll.PALO.DATAC("jedoxtest/EU_PM_CUBE02","EUPM_Mittel2_Cube",Datenstand,"Alle Beteiligungen","Alle Koordinatoren","Alle Unternehmensgrößen","-2","Alle Organisationstypen",14,"Alle Expertevaluierungsstatus","-2","-2",1000001,"-2","Alle","-2","anzahl_koordinatoren")</f>
        <v>19320</v>
      </c>
      <c r="Q6" s="179">
        <f ca="1">_xll.PALO.DATAC("jedoxtest/EU_PM_CUBE02","EUPM_Mittel2_Cube",Datenstand,"Alle Beteiligungen","Alle Koordinatoren","Alle Unternehmensgrößen","-2","Alle Organisationstypen",14,"Alle Expertevaluierungsstatus","-2","-2",1,"-2","Alle","-2","anzahl_koordinatoren")</f>
        <v>718</v>
      </c>
      <c r="R6" s="180">
        <f ca="1">IFERROR(_xll.PALO.DATAC("jedoxtest/EU_PM_CUBE02","EUPM_Mittel2_Cube",Datenstand,"Alle Beteiligungen","Alle Koordinatoren","Alle Unternehmensgrößen","-2","Alle Organisationstypen",14,"Alle Expertevaluierungsstatus","-2","-2",1,"-2","Alle","-2","anzahl_koordinatoren")/_xll.PALO.DATAC("jedoxtest/EU_PM_CUBE02","EUPM_Mittel2_Cube",Datenstand,"Alle Beteiligungen","Alle Koordinatoren","Alle Unternehmensgrößen","-2","Alle Organisationstypen",14,"Alle Expertevaluierungsstatus","-2","-2",-2,"-2","Alle","-2","anzahl_koordinatoren"),"-  ")</f>
        <v>2.9678006034803455E-2</v>
      </c>
      <c r="S6" s="186">
        <f ca="1">_xll.PALO.DATAC("jedoxtest/EU_PM_CUBE02","EUPM_Mittel2_Cube",Datenstand,"Alle Beteiligungen","Alle Koordinatoren","Alle Unternehmensgrößen","-2","Alle Organisationstypen",14,"Alle Expertevaluierungsstatus","-2","-2","-2","-2","Alle","-2","foerderung")/1000000</f>
        <v>63704.043918586896</v>
      </c>
      <c r="T6" s="186">
        <f ca="1">_xll.PALO.DATAC("jedoxtest/EU_PM_CUBE02","EUPM_Mittel2_Cube",Datenstand,"Alle Beteiligungen","Alle Koordinatoren","Alle Unternehmensgrößen","-2","Alle Organisationstypen",14,"Alle Expertevaluierungsstatus","-2","-2",1000001,"-2","Alle","-2","foerderung")/1000000</f>
        <v>53612.226675007798</v>
      </c>
      <c r="U6" s="186">
        <f ca="1">_xll.PALO.DATAC("jedoxtest/EU_PM_CUBE02","EUPM_Mittel2_Cube",Datenstand,"Alle Beteiligungen","Alle Koordinatoren","Alle Unternehmensgrößen","-2","Alle Organisationstypen",14,"Alle Expertevaluierungsstatus","-2","-2",1,"-2","Alle","-2","foerderung")/1000000</f>
        <v>1845.2225264600102</v>
      </c>
      <c r="V6" s="180">
        <f ca="1">IFERROR(_xll.PALO.DATAC("jedoxtest/EU_PM_CUBE02","EUPM_Mittel2_Cube",Datenstand,"Alle Beteiligungen","Alle Koordinatoren","Alle Unternehmensgrößen","-2","Alle Organisationstypen",14,"Alle Expertevaluierungsstatus","-2","-2",1,"-2","Alle","-2","foerderung")/_xll.PALO.DATAC("jedoxtest/EU_PM_CUBE02","EUPM_Mittel2_Cube",Datenstand,"Alle Beteiligungen","Alle Koordinatoren","Alle Unternehmensgrößen","-2","Alle Organisationstypen",14,"Alle Expertevaluierungsstatus","-2","-2",-2,"-2","Alle","-2","foerderung"),"-  ")</f>
        <v>2.8965547757347793E-2</v>
      </c>
      <c r="W6" s="181"/>
      <c r="X6" s="181"/>
    </row>
    <row r="7" spans="2:24" ht="18" customHeight="1">
      <c r="B7" s="47">
        <v>1</v>
      </c>
      <c r="C7" s="75" t="str">
        <f ca="1">_xll.PALO.DATA("jedoxtest/EU_PM_CUBE02","#_Organisationstyp","ffg_Bezeichnung",$B7)</f>
        <v>Hochschule</v>
      </c>
      <c r="D7" s="124">
        <f ca="1">_xll.PALO.DATAC("jedoxtest/EU_PM_CUBE02","EUPM_Mittel2_Cube",Datenstand,"Alle Beteiligungen","Alle Koordinatoren","Alle Unternehmensgrößen","-2",$B7,5,"Alle Expertevaluierungsstatus","-2","-2","-2","-2","Alle","-2","anzahl_beteiligungen")</f>
        <v>293577</v>
      </c>
      <c r="E7" s="124">
        <f ca="1">_xll.PALO.DATAC("jedoxtest/EU_PM_CUBE02","EUPM_Mittel2_Cube",Datenstand,"Alle Beteiligungen","Alle Koordinatoren","Alle Unternehmensgrößen","-2",$B7,5,"Alle Expertevaluierungsstatus","-2","-2",1000001,"-2","Alle","-2","anzahl_beteiligungen")</f>
        <v>216202</v>
      </c>
      <c r="F7" s="191">
        <f ca="1">_xll.PALO.DATAC("jedoxtest/EU_PM_CUBE02","EUPM_Mittel2_Cube",Datenstand,"Alle Beteiligungen","Alle Koordinatoren","Alle Unternehmensgrößen","-2",$B7,5,"Alle Expertevaluierungsstatus","-2","-2",1,"-2","Alle","-2","anzahl_beteiligungen")</f>
        <v>7808</v>
      </c>
      <c r="G7" s="169">
        <f ca="1">IFERROR(_xll.PALO.DATAC("jedoxtest/EU_PM_CUBE02","EUPM_Mittel2_Cube",Datenstand,"Alle Beteiligungen","Alle Koordinatoren","Alle Unternehmensgrößen","-2",$B7,5,"Alle Expertevaluierungsstatus","-2","-2",1,"-2","Alle","-2","anzahl_beteiligungen")/_xll.PALO.DATAC("jedoxtest/EU_PM_CUBE02","EUPM_Mittel2_Cube",Datenstand,"Alle Beteiligungen","Alle Koordinatoren","Alle Unternehmensgrößen","-2",$B7,5,"Alle Expertevaluierungsstatus","-2","-2",-2,"-2","Alle","-2","anzahl_beteiligungen"),"-  ")</f>
        <v>2.6596088930672362E-2</v>
      </c>
      <c r="H7" s="124">
        <f ca="1">_xll.PALO.DATAC("jedoxtest/EU_PM_CUBE02","EUPM_Mittel2_Cube",Datenstand,"Alle Beteiligungen","Alle Koordinatoren","Alle Unternehmensgrößen","-2",$B7,14,"Alle Expertevaluierungsstatus","-2","-2","-2","-2","Alle","-2","anzahl_beteiligungen")</f>
        <v>46154</v>
      </c>
      <c r="I7" s="124">
        <f ca="1">_xll.PALO.DATAC("jedoxtest/EU_PM_CUBE02","EUPM_Mittel2_Cube",Datenstand,"Alle Beteiligungen","Alle Koordinatoren","Alle Unternehmensgrößen","-2",$B7,14,"Alle Expertevaluierungsstatus","-2","-2",1000001,"-2","Alle","-2","anzahl_beteiligungen")</f>
        <v>33895</v>
      </c>
      <c r="J7" s="191">
        <f ca="1">_xll.PALO.DATAC("jedoxtest/EU_PM_CUBE02","EUPM_Mittel2_Cube",Datenstand,"Alle Beteiligungen","Alle Koordinatoren","Alle Unternehmensgrößen","-2",$B7,14,"Alle Expertevaluierungsstatus","-2","-2",1,"-2","Alle","-2","anzahl_beteiligungen")</f>
        <v>1250</v>
      </c>
      <c r="K7" s="169">
        <f ca="1">IFERROR(_xll.PALO.DATAC("jedoxtest/EU_PM_CUBE02","EUPM_Mittel2_Cube",Datenstand,"Alle Beteiligungen","Alle Koordinatoren","Alle Unternehmensgrößen","-2",$B7,14,"Alle Expertevaluierungsstatus","-2","-2",1,"-2","Alle","-2","anzahl_beteiligungen")/_xll.PALO.DATAC("jedoxtest/EU_PM_CUBE02","EUPM_Mittel2_Cube",Datenstand,"Alle Beteiligungen","Alle Koordinatoren","Alle Unternehmensgrößen","-2",$B7,14,"Alle Expertevaluierungsstatus","-2","-2",-2,"-2","Alle","-2","anzahl_beteiligungen"),"-  ")</f>
        <v>2.7083243055856479E-2</v>
      </c>
      <c r="L7" s="169">
        <f t="shared" ca="1" si="0"/>
        <v>0.15721258817959172</v>
      </c>
      <c r="M7" s="169">
        <f t="shared" ca="1" si="0"/>
        <v>0.156774682935403</v>
      </c>
      <c r="N7" s="169">
        <f t="shared" ca="1" si="0"/>
        <v>0.16009221311475411</v>
      </c>
      <c r="O7" s="170">
        <f ca="1">_xll.PALO.DATAC("jedoxtest/EU_PM_CUBE02","EUPM_Mittel2_Cube",Datenstand,"Alle Beteiligungen","Alle Koordinatoren","Alle Unternehmensgrößen","-2",$B7,14,"Alle Expertevaluierungsstatus","-2","-2","-2","-2","Alle","-2","anzahl_koordinatoren")</f>
        <v>13410</v>
      </c>
      <c r="P7" s="170">
        <f ca="1">_xll.PALO.DATAC("jedoxtest/EU_PM_CUBE02","EUPM_Mittel2_Cube",Datenstand,"Alle Beteiligungen","Alle Koordinatoren","Alle Unternehmensgrößen","-2",$B7,14,"Alle Expertevaluierungsstatus","-2","-2",1000001,"-2","Alle","-2","anzahl_koordinatoren")</f>
        <v>9928</v>
      </c>
      <c r="Q7" s="170">
        <f ca="1">_xll.PALO.DATAC("jedoxtest/EU_PM_CUBE02","EUPM_Mittel2_Cube",Datenstand,"Alle Beteiligungen","Alle Koordinatoren","Alle Unternehmensgrößen","-2",$B7,14,"Alle Expertevaluierungsstatus","-2","-2",1,"-2","Alle","-2","anzahl_koordinatoren")</f>
        <v>395</v>
      </c>
      <c r="R7" s="171">
        <f ca="1">IFERROR(_xll.PALO.DATAC("jedoxtest/EU_PM_CUBE02","EUPM_Mittel2_Cube",Datenstand,"Alle Beteiligungen","Alle Koordinatoren","Alle Unternehmensgrößen","-2",$B7,14,"Alle Expertevaluierungsstatus","-2","-2",1,"-2","Alle","-2","anzahl_koordinatoren")/_xll.PALO.DATAC("jedoxtest/EU_PM_CUBE02","EUPM_Mittel2_Cube",Datenstand,"Alle Beteiligungen","Alle Koordinatoren","Alle Unternehmensgrößen","-2",$B7,14,"Alle Expertevaluierungsstatus","-2","-2",-2,"-2","Alle","-2","anzahl_koordinatoren"),"-  ")</f>
        <v>2.9455630126771066E-2</v>
      </c>
      <c r="S7" s="172">
        <f ca="1">_xll.PALO.DATAC("jedoxtest/EU_PM_CUBE02","EUPM_Mittel2_Cube",Datenstand,"Alle Beteiligungen","Alle Koordinatoren","Alle Unternehmensgrößen","-2",$B7,14,"Alle Expertevaluierungsstatus","-2","-2","-2","-2","Alle","-2","foerderung")/1000000</f>
        <v>22772.9519063101</v>
      </c>
      <c r="T7" s="172">
        <f ca="1">_xll.PALO.DATAC("jedoxtest/EU_PM_CUBE02","EUPM_Mittel2_Cube",Datenstand,"Alle Beteiligungen","Alle Koordinatoren","Alle Unternehmensgrößen","-2",$B7,14,"Alle Expertevaluierungsstatus","-2","-2",1000001,"-2","Alle","-2","foerderung")/1000000</f>
        <v>17163.8290757299</v>
      </c>
      <c r="U7" s="172">
        <f ca="1">_xll.PALO.DATAC("jedoxtest/EU_PM_CUBE02","EUPM_Mittel2_Cube",Datenstand,"Alle Beteiligungen","Alle Koordinatoren","Alle Unternehmensgrößen","-2",$B7,14,"Alle Expertevaluierungsstatus","-2","-2",1,"-2","Alle","-2","foerderung")/1000000</f>
        <v>709.76579748000006</v>
      </c>
      <c r="V7" s="173">
        <f ca="1">IFERROR(_xll.PALO.DATAC("jedoxtest/EU_PM_CUBE02","EUPM_Mittel2_Cube",Datenstand,"Alle Beteiligungen","Alle Koordinatoren","Alle Unternehmensgrößen","-2",$B7,14,"Alle Expertevaluierungsstatus","-2","-2",1,"-2","Alle","-2","foerderung")/_xll.PALO.DATAC("jedoxtest/EU_PM_CUBE02","EUPM_Mittel2_Cube",Datenstand,"Alle Beteiligungen","Alle Koordinatoren","Alle Unternehmensgrößen","-2",$B7,14,"Alle Expertevaluierungsstatus","-2","-2",-2,"-2","Alle","-2","foerderung"),"-  ")</f>
        <v>3.1167052931918446E-2</v>
      </c>
    </row>
    <row r="8" spans="2:24" ht="18" customHeight="1">
      <c r="B8" s="47">
        <v>2</v>
      </c>
      <c r="C8" s="76" t="str">
        <f ca="1">_xll.PALO.DATA("jedoxtest/EU_PM_CUBE02","#_Organisationstyp","ffg_Bezeichnung",$B8)</f>
        <v>Unternehmen</v>
      </c>
      <c r="D8" s="125">
        <f ca="1">_xll.PALO.DATAC("jedoxtest/EU_PM_CUBE02","EUPM_Mittel2_Cube",Datenstand,"Alle Beteiligungen","Alle Koordinatoren","Alle Unternehmensgrößen","-2",$B8,5,"Alle Expertevaluierungsstatus","-2","-2","-2","-2","Alle","-2","anzahl_beteiligungen")</f>
        <v>224531</v>
      </c>
      <c r="E8" s="125">
        <f ca="1">_xll.PALO.DATAC("jedoxtest/EU_PM_CUBE02","EUPM_Mittel2_Cube",Datenstand,"Alle Beteiligungen","Alle Koordinatoren","Alle Unternehmensgrößen","-2",$B8,5,"Alle Expertevaluierungsstatus","-2","-2",1000001,"-2","Alle","-2","anzahl_beteiligungen")</f>
        <v>188392</v>
      </c>
      <c r="F8" s="192">
        <f ca="1">_xll.PALO.DATAC("jedoxtest/EU_PM_CUBE02","EUPM_Mittel2_Cube",Datenstand,"Alle Beteiligungen","Alle Koordinatoren","Alle Unternehmensgrößen","-2",$B8,5,"Alle Expertevaluierungsstatus","-2","-2",1,"-2","Alle","-2","anzahl_beteiligungen")</f>
        <v>6037</v>
      </c>
      <c r="G8" s="174">
        <f ca="1">IFERROR(_xll.PALO.DATAC("jedoxtest/EU_PM_CUBE02","EUPM_Mittel2_Cube",Datenstand,"Alle Beteiligungen","Alle Koordinatoren","Alle Unternehmensgrößen","-2",$B8,5,"Alle Expertevaluierungsstatus","-2","-2",1,"-2","Alle","-2","anzahl_beteiligungen")/_xll.PALO.DATAC("jedoxtest/EU_PM_CUBE02","EUPM_Mittel2_Cube",Datenstand,"Alle Beteiligungen","Alle Koordinatoren","Alle Unternehmensgrößen","-2",$B8,5,"Alle Expertevaluierungsstatus","-2","-2",-2,"-2","Alle","-2","anzahl_beteiligungen"),"-  ")</f>
        <v>2.6887155893840938E-2</v>
      </c>
      <c r="H8" s="125">
        <f ca="1">_xll.PALO.DATAC("jedoxtest/EU_PM_CUBE02","EUPM_Mittel2_Cube",Datenstand,"Alle Beteiligungen","Alle Koordinatoren","Alle Unternehmensgrößen","-2",$B8,14,"Alle Expertevaluierungsstatus","-2","-2","-2","-2","Alle","-2","anzahl_beteiligungen")</f>
        <v>41240</v>
      </c>
      <c r="I8" s="125">
        <f ca="1">_xll.PALO.DATAC("jedoxtest/EU_PM_CUBE02","EUPM_Mittel2_Cube",Datenstand,"Alle Beteiligungen","Alle Koordinatoren","Alle Unternehmensgrößen","-2",$B8,14,"Alle Expertevaluierungsstatus","-2","-2",1000001,"-2","Alle","-2","anzahl_beteiligungen")</f>
        <v>35159</v>
      </c>
      <c r="J8" s="192">
        <f ca="1">_xll.PALO.DATAC("jedoxtest/EU_PM_CUBE02","EUPM_Mittel2_Cube",Datenstand,"Alle Beteiligungen","Alle Koordinatoren","Alle Unternehmensgrößen","-2",$B8,14,"Alle Expertevaluierungsstatus","-2","-2",1,"-2","Alle","-2","anzahl_beteiligungen")</f>
        <v>1206</v>
      </c>
      <c r="K8" s="174">
        <f ca="1">IFERROR(_xll.PALO.DATAC("jedoxtest/EU_PM_CUBE02","EUPM_Mittel2_Cube",Datenstand,"Alle Beteiligungen","Alle Koordinatoren","Alle Unternehmensgrößen","-2",$B8,14,"Alle Expertevaluierungsstatus","-2","-2",1,"-2","Alle","-2","anzahl_beteiligungen")/_xll.PALO.DATAC("jedoxtest/EU_PM_CUBE02","EUPM_Mittel2_Cube",Datenstand,"Alle Beteiligungen","Alle Koordinatoren","Alle Unternehmensgrößen","-2",$B8,14,"Alle Expertevaluierungsstatus","-2","-2",-2,"-2","Alle","-2","anzahl_beteiligungen"),"-  ")</f>
        <v>2.924345295829292E-2</v>
      </c>
      <c r="L8" s="174">
        <f t="shared" ref="L8:L11" ca="1" si="1">IFERROR(H8/D8,"-   ")</f>
        <v>0.18367174243200271</v>
      </c>
      <c r="M8" s="174">
        <f t="shared" ref="M8:M11" ca="1" si="2">IFERROR(I8/E8,"-   ")</f>
        <v>0.18662682067179073</v>
      </c>
      <c r="N8" s="174">
        <f t="shared" ref="N8:N11" ca="1" si="3">IFERROR(J8/F8,"-   ")</f>
        <v>0.1997680967367898</v>
      </c>
      <c r="O8" s="170">
        <f ca="1">_xll.PALO.DATAC("jedoxtest/EU_PM_CUBE02","EUPM_Mittel2_Cube",Datenstand,"Alle Beteiligungen","Alle Koordinatoren","Alle Unternehmensgrößen","-2",$B8,14,"Alle Expertevaluierungsstatus","-2","-2","-2","-2","Alle","-2","anzahl_koordinatoren")</f>
        <v>4340</v>
      </c>
      <c r="P8" s="170">
        <f ca="1">_xll.PALO.DATAC("jedoxtest/EU_PM_CUBE02","EUPM_Mittel2_Cube",Datenstand,"Alle Beteiligungen","Alle Koordinatoren","Alle Unternehmensgrößen","-2",$B8,14,"Alle Expertevaluierungsstatus","-2","-2",1000001,"-2","Alle","-2","anzahl_koordinatoren")</f>
        <v>3485</v>
      </c>
      <c r="Q8" s="170">
        <f ca="1">_xll.PALO.DATAC("jedoxtest/EU_PM_CUBE02","EUPM_Mittel2_Cube",Datenstand,"Alle Beteiligungen","Alle Koordinatoren","Alle Unternehmensgrößen","-2",$B8,14,"Alle Expertevaluierungsstatus","-2","-2",1,"-2","Alle","-2","anzahl_koordinatoren")</f>
        <v>95</v>
      </c>
      <c r="R8" s="171">
        <f ca="1">IFERROR(_xll.PALO.DATAC("jedoxtest/EU_PM_CUBE02","EUPM_Mittel2_Cube",Datenstand,"Alle Beteiligungen","Alle Koordinatoren","Alle Unternehmensgrößen","-2",$B8,14,"Alle Expertevaluierungsstatus","-2","-2",1,"-2","Alle","-2","anzahl_koordinatoren")/_xll.PALO.DATAC("jedoxtest/EU_PM_CUBE02","EUPM_Mittel2_Cube",Datenstand,"Alle Beteiligungen","Alle Koordinatoren","Alle Unternehmensgrößen","-2",$B8,14,"Alle Expertevaluierungsstatus","-2","-2",-2,"-2","Alle","-2","anzahl_koordinatoren"),"-  ")</f>
        <v>2.1889400921658985E-2</v>
      </c>
      <c r="S8" s="172">
        <f ca="1">_xll.PALO.DATAC("jedoxtest/EU_PM_CUBE02","EUPM_Mittel2_Cube",Datenstand,"Alle Beteiligungen","Alle Koordinatoren","Alle Unternehmensgrößen","-2",$B8,14,"Alle Expertevaluierungsstatus","-2","-2","-2","-2","Alle","-2","foerderung")/1000000</f>
        <v>17556.942662559701</v>
      </c>
      <c r="T8" s="172">
        <f ca="1">_xll.PALO.DATAC("jedoxtest/EU_PM_CUBE02","EUPM_Mittel2_Cube",Datenstand,"Alle Beteiligungen","Alle Koordinatoren","Alle Unternehmensgrößen","-2",$B8,14,"Alle Expertevaluierungsstatus","-2","-2",1000001,"-2","Alle","-2","foerderung")/1000000</f>
        <v>15678.118590559699</v>
      </c>
      <c r="U8" s="172">
        <f ca="1">_xll.PALO.DATAC("jedoxtest/EU_PM_CUBE02","EUPM_Mittel2_Cube",Datenstand,"Alle Beteiligungen","Alle Koordinatoren","Alle Unternehmensgrößen","-2",$B8,14,"Alle Expertevaluierungsstatus","-2","-2",1,"-2","Alle","-2","foerderung")/1000000</f>
        <v>433.76375751</v>
      </c>
      <c r="V8" s="173">
        <f ca="1">IFERROR(_xll.PALO.DATAC("jedoxtest/EU_PM_CUBE02","EUPM_Mittel2_Cube",Datenstand,"Alle Beteiligungen","Alle Koordinatoren","Alle Unternehmensgrößen","-2",$B8,14,"Alle Expertevaluierungsstatus","-2","-2",1,"-2","Alle","-2","foerderung")/_xll.PALO.DATAC("jedoxtest/EU_PM_CUBE02","EUPM_Mittel2_Cube",Datenstand,"Alle Beteiligungen","Alle Koordinatoren","Alle Unternehmensgrößen","-2",$B8,14,"Alle Expertevaluierungsstatus","-2","-2",-2,"-2","Alle","-2","foerderung"),"-  ")</f>
        <v>2.4706110046996063E-2</v>
      </c>
    </row>
    <row r="9" spans="2:24" ht="18" customHeight="1">
      <c r="B9" s="47">
        <v>5</v>
      </c>
      <c r="C9" s="76" t="str">
        <f ca="1">_xll.PALO.DATA("jedoxtest/EU_PM_CUBE02","#_Organisationstyp","ffg_Bezeichnung",$B9)</f>
        <v>Auniv.Forschung</v>
      </c>
      <c r="D9" s="125">
        <f ca="1">_xll.PALO.DATAC("jedoxtest/EU_PM_CUBE02","EUPM_Mittel2_Cube",Datenstand,"Alle Beteiligungen","Alle Koordinatoren","Alle Unternehmensgrößen","-2",$B9,5,"Alle Expertevaluierungsstatus","-2","-2","-2","-2","Alle","-2","anzahl_beteiligungen")</f>
        <v>143245</v>
      </c>
      <c r="E9" s="125">
        <f ca="1">_xll.PALO.DATAC("jedoxtest/EU_PM_CUBE02","EUPM_Mittel2_Cube",Datenstand,"Alle Beteiligungen","Alle Koordinatoren","Alle Unternehmensgrößen","-2",$B9,5,"Alle Expertevaluierungsstatus","-2","-2",1000001,"-2","Alle","-2","anzahl_beteiligungen")</f>
        <v>125675</v>
      </c>
      <c r="F9" s="192">
        <f ca="1">_xll.PALO.DATAC("jedoxtest/EU_PM_CUBE02","EUPM_Mittel2_Cube",Datenstand,"Alle Beteiligungen","Alle Koordinatoren","Alle Unternehmensgrößen","-2",$B9,5,"Alle Expertevaluierungsstatus","-2","-2",1,"-2","Alle","-2","anzahl_beteiligungen")</f>
        <v>5132</v>
      </c>
      <c r="G9" s="174">
        <f ca="1">IFERROR(_xll.PALO.DATAC("jedoxtest/EU_PM_CUBE02","EUPM_Mittel2_Cube",Datenstand,"Alle Beteiligungen","Alle Koordinatoren","Alle Unternehmensgrößen","-2",$B9,5,"Alle Expertevaluierungsstatus","-2","-2",1,"-2","Alle","-2","anzahl_beteiligungen")/_xll.PALO.DATAC("jedoxtest/EU_PM_CUBE02","EUPM_Mittel2_Cube",Datenstand,"Alle Beteiligungen","Alle Koordinatoren","Alle Unternehmensgrößen","-2",$B9,5,"Alle Expertevaluierungsstatus","-2","-2",-2,"-2","Alle","-2","anzahl_beteiligungen"),"-  ")</f>
        <v>3.5826730426890989E-2</v>
      </c>
      <c r="H9" s="125">
        <f ca="1">_xll.PALO.DATAC("jedoxtest/EU_PM_CUBE02","EUPM_Mittel2_Cube",Datenstand,"Alle Beteiligungen","Alle Koordinatoren","Alle Unternehmensgrößen","-2",$B9,14,"Alle Expertevaluierungsstatus","-2","-2","-2","-2","Alle","-2","anzahl_beteiligungen")</f>
        <v>29650</v>
      </c>
      <c r="I9" s="125">
        <f ca="1">_xll.PALO.DATAC("jedoxtest/EU_PM_CUBE02","EUPM_Mittel2_Cube",Datenstand,"Alle Beteiligungen","Alle Koordinatoren","Alle Unternehmensgrößen","-2",$B9,14,"Alle Expertevaluierungsstatus","-2","-2",1000001,"-2","Alle","-2","anzahl_beteiligungen")</f>
        <v>25757</v>
      </c>
      <c r="J9" s="192">
        <f ca="1">_xll.PALO.DATAC("jedoxtest/EU_PM_CUBE02","EUPM_Mittel2_Cube",Datenstand,"Alle Beteiligungen","Alle Koordinatoren","Alle Unternehmensgrößen","-2",$B9,14,"Alle Expertevaluierungsstatus","-2","-2",1,"-2","Alle","-2","anzahl_beteiligungen")</f>
        <v>1039</v>
      </c>
      <c r="K9" s="174">
        <f ca="1">IFERROR(_xll.PALO.DATAC("jedoxtest/EU_PM_CUBE02","EUPM_Mittel2_Cube",Datenstand,"Alle Beteiligungen","Alle Koordinatoren","Alle Unternehmensgrößen","-2",$B9,14,"Alle Expertevaluierungsstatus","-2","-2",1,"-2","Alle","-2","anzahl_beteiligungen")/_xll.PALO.DATAC("jedoxtest/EU_PM_CUBE02","EUPM_Mittel2_Cube",Datenstand,"Alle Beteiligungen","Alle Koordinatoren","Alle Unternehmensgrößen","-2",$B9,14,"Alle Expertevaluierungsstatus","-2","-2",-2,"-2","Alle","-2","anzahl_beteiligungen"),"-  ")</f>
        <v>3.5042158516020237E-2</v>
      </c>
      <c r="L9" s="174">
        <f t="shared" ca="1" si="1"/>
        <v>0.20698802750532305</v>
      </c>
      <c r="M9" s="174">
        <f t="shared" ca="1" si="2"/>
        <v>0.20494927392082754</v>
      </c>
      <c r="N9" s="174">
        <f t="shared" ca="1" si="3"/>
        <v>0.20245518316445829</v>
      </c>
      <c r="O9" s="170">
        <f ca="1">_xll.PALO.DATAC("jedoxtest/EU_PM_CUBE02","EUPM_Mittel2_Cube",Datenstand,"Alle Beteiligungen","Alle Koordinatoren","Alle Unternehmensgrößen","-2",$B9,14,"Alle Expertevaluierungsstatus","-2","-2","-2","-2","Alle","-2","anzahl_koordinatoren")</f>
        <v>5719</v>
      </c>
      <c r="P9" s="170">
        <f ca="1">_xll.PALO.DATAC("jedoxtest/EU_PM_CUBE02","EUPM_Mittel2_Cube",Datenstand,"Alle Beteiligungen","Alle Koordinatoren","Alle Unternehmensgrößen","-2",$B9,14,"Alle Expertevaluierungsstatus","-2","-2",1000001,"-2","Alle","-2","anzahl_koordinatoren")</f>
        <v>5279</v>
      </c>
      <c r="Q9" s="170">
        <f ca="1">_xll.PALO.DATAC("jedoxtest/EU_PM_CUBE02","EUPM_Mittel2_Cube",Datenstand,"Alle Beteiligungen","Alle Koordinatoren","Alle Unternehmensgrößen","-2",$B9,14,"Alle Expertevaluierungsstatus","-2","-2",1,"-2","Alle","-2","anzahl_koordinatoren")</f>
        <v>211</v>
      </c>
      <c r="R9" s="171">
        <f ca="1">IFERROR(_xll.PALO.DATAC("jedoxtest/EU_PM_CUBE02","EUPM_Mittel2_Cube",Datenstand,"Alle Beteiligungen","Alle Koordinatoren","Alle Unternehmensgrößen","-2",$B9,14,"Alle Expertevaluierungsstatus","-2","-2",1,"-2","Alle","-2","anzahl_koordinatoren")/_xll.PALO.DATAC("jedoxtest/EU_PM_CUBE02","EUPM_Mittel2_Cube",Datenstand,"Alle Beteiligungen","Alle Koordinatoren","Alle Unternehmensgrößen","-2",$B9,14,"Alle Expertevaluierungsstatus","-2","-2",-2,"-2","Alle","-2","anzahl_koordinatoren"),"-  ")</f>
        <v>3.6894561986361249E-2</v>
      </c>
      <c r="S9" s="172">
        <f ca="1">_xll.PALO.DATAC("jedoxtest/EU_PM_CUBE02","EUPM_Mittel2_Cube",Datenstand,"Alle Beteiligungen","Alle Koordinatoren","Alle Unternehmensgrößen","-2",$B9,14,"Alle Expertevaluierungsstatus","-2","-2","-2","-2","Alle","-2","foerderung")/1000000</f>
        <v>16436.6855832898</v>
      </c>
      <c r="T9" s="172">
        <f ca="1">_xll.PALO.DATAC("jedoxtest/EU_PM_CUBE02","EUPM_Mittel2_Cube",Datenstand,"Alle Beteiligungen","Alle Koordinatoren","Alle Unternehmensgrößen","-2",$B9,14,"Alle Expertevaluierungsstatus","-2","-2",1000001,"-2","Alle","-2","foerderung")/1000000</f>
        <v>14614.114991729901</v>
      </c>
      <c r="U9" s="172">
        <f ca="1">_xll.PALO.DATAC("jedoxtest/EU_PM_CUBE02","EUPM_Mittel2_Cube",Datenstand,"Alle Beteiligungen","Alle Koordinatoren","Alle Unternehmensgrößen","-2",$B9,14,"Alle Expertevaluierungsstatus","-2","-2",1,"-2","Alle","-2","foerderung")/1000000</f>
        <v>546.99015396000004</v>
      </c>
      <c r="V9" s="173">
        <f ca="1">IFERROR(_xll.PALO.DATAC("jedoxtest/EU_PM_CUBE02","EUPM_Mittel2_Cube",Datenstand,"Alle Beteiligungen","Alle Koordinatoren","Alle Unternehmensgrößen","-2",$B9,14,"Alle Expertevaluierungsstatus","-2","-2",1,"-2","Alle","-2","foerderung")/_xll.PALO.DATAC("jedoxtest/EU_PM_CUBE02","EUPM_Mittel2_Cube",Datenstand,"Alle Beteiligungen","Alle Koordinatoren","Alle Unternehmensgrößen","-2",$B9,14,"Alle Expertevaluierungsstatus","-2","-2",-2,"-2","Alle","-2","foerderung"),"-  ")</f>
        <v>3.3278616372396409E-2</v>
      </c>
    </row>
    <row r="10" spans="2:24" ht="18" customHeight="1">
      <c r="B10" s="47">
        <v>4</v>
      </c>
      <c r="C10" s="76" t="str">
        <f ca="1">_xll.PALO.DATA("jedoxtest/EU_PM_CUBE02","#_Organisationstyp","ffg_Bezeichnung",$B10)</f>
        <v>Öff.Institution</v>
      </c>
      <c r="D10" s="125">
        <f ca="1">_xll.PALO.DATAC("jedoxtest/EU_PM_CUBE02","EUPM_Mittel2_Cube",Datenstand,"Alle Beteiligungen","Alle Koordinatoren","Alle Unternehmensgrößen","-2",$B10,5,"Alle Expertevaluierungsstatus","-2","-2","-2","-2","Alle","-2","anzahl_beteiligungen")</f>
        <v>38352</v>
      </c>
      <c r="E10" s="125">
        <f ca="1">_xll.PALO.DATAC("jedoxtest/EU_PM_CUBE02","EUPM_Mittel2_Cube",Datenstand,"Alle Beteiligungen","Alle Koordinatoren","Alle Unternehmensgrößen","-2",$B10,5,"Alle Expertevaluierungsstatus","-2","-2",1000001,"-2","Alle","-2","anzahl_beteiligungen")</f>
        <v>28966</v>
      </c>
      <c r="F10" s="192">
        <f ca="1">_xll.PALO.DATAC("jedoxtest/EU_PM_CUBE02","EUPM_Mittel2_Cube",Datenstand,"Alle Beteiligungen","Alle Koordinatoren","Alle Unternehmensgrößen","-2",$B10,5,"Alle Expertevaluierungsstatus","-2","-2",1,"-2","Alle","-2","anzahl_beteiligungen")</f>
        <v>385</v>
      </c>
      <c r="G10" s="174">
        <f ca="1">IFERROR(_xll.PALO.DATAC("jedoxtest/EU_PM_CUBE02","EUPM_Mittel2_Cube",Datenstand,"Alle Beteiligungen","Alle Koordinatoren","Alle Unternehmensgrößen","-2",$B10,5,"Alle Expertevaluierungsstatus","-2","-2",1,"-2","Alle","-2","anzahl_beteiligungen")/_xll.PALO.DATAC("jedoxtest/EU_PM_CUBE02","EUPM_Mittel2_Cube",Datenstand,"Alle Beteiligungen","Alle Koordinatoren","Alle Unternehmensgrößen","-2",$B10,5,"Alle Expertevaluierungsstatus","-2","-2",-2,"-2","Alle","-2","anzahl_beteiligungen"),"-  ")</f>
        <v>1.0038589904046725E-2</v>
      </c>
      <c r="H10" s="125">
        <f ca="1">_xll.PALO.DATAC("jedoxtest/EU_PM_CUBE02","EUPM_Mittel2_Cube",Datenstand,"Alle Beteiligungen","Alle Koordinatoren","Alle Unternehmensgrößen","-2",$B10,14,"Alle Expertevaluierungsstatus","-2","-2","-2","-2","Alle","-2","anzahl_beteiligungen")</f>
        <v>8452</v>
      </c>
      <c r="I10" s="125">
        <f ca="1">_xll.PALO.DATAC("jedoxtest/EU_PM_CUBE02","EUPM_Mittel2_Cube",Datenstand,"Alle Beteiligungen","Alle Koordinatoren","Alle Unternehmensgrößen","-2",$B10,14,"Alle Expertevaluierungsstatus","-2","-2",1000001,"-2","Alle","-2","anzahl_beteiligungen")</f>
        <v>6647</v>
      </c>
      <c r="J10" s="192">
        <f ca="1">_xll.PALO.DATAC("jedoxtest/EU_PM_CUBE02","EUPM_Mittel2_Cube",Datenstand,"Alle Beteiligungen","Alle Koordinatoren","Alle Unternehmensgrößen","-2",$B10,14,"Alle Expertevaluierungsstatus","-2","-2",1,"-2","Alle","-2","anzahl_beteiligungen")</f>
        <v>137</v>
      </c>
      <c r="K10" s="174">
        <f ca="1">IFERROR(_xll.PALO.DATAC("jedoxtest/EU_PM_CUBE02","EUPM_Mittel2_Cube",Datenstand,"Alle Beteiligungen","Alle Koordinatoren","Alle Unternehmensgrößen","-2",$B10,14,"Alle Expertevaluierungsstatus","-2","-2",1,"-2","Alle","-2","anzahl_beteiligungen")/_xll.PALO.DATAC("jedoxtest/EU_PM_CUBE02","EUPM_Mittel2_Cube",Datenstand,"Alle Beteiligungen","Alle Koordinatoren","Alle Unternehmensgrößen","-2",$B10,14,"Alle Expertevaluierungsstatus","-2","-2",-2,"-2","Alle","-2","anzahl_beteiligungen"),"-  ")</f>
        <v>1.6209181258873641E-2</v>
      </c>
      <c r="L10" s="174">
        <f t="shared" ca="1" si="1"/>
        <v>0.2203796412181894</v>
      </c>
      <c r="M10" s="174">
        <f t="shared" ca="1" si="2"/>
        <v>0.22947593730580682</v>
      </c>
      <c r="N10" s="174">
        <f t="shared" ca="1" si="3"/>
        <v>0.35584415584415585</v>
      </c>
      <c r="O10" s="170">
        <f ca="1">_xll.PALO.DATAC("jedoxtest/EU_PM_CUBE02","EUPM_Mittel2_Cube",Datenstand,"Alle Beteiligungen","Alle Koordinatoren","Alle Unternehmensgrößen","-2",$B10,14,"Alle Expertevaluierungsstatus","-2","-2","-2","-2","Alle","-2","anzahl_koordinatoren")</f>
        <v>278</v>
      </c>
      <c r="P10" s="170">
        <f ca="1">_xll.PALO.DATAC("jedoxtest/EU_PM_CUBE02","EUPM_Mittel2_Cube",Datenstand,"Alle Beteiligungen","Alle Koordinatoren","Alle Unternehmensgrößen","-2",$B10,14,"Alle Expertevaluierungsstatus","-2","-2",1000001,"-2","Alle","-2","anzahl_koordinatoren")</f>
        <v>223</v>
      </c>
      <c r="Q10" s="170">
        <f ca="1">_xll.PALO.DATAC("jedoxtest/EU_PM_CUBE02","EUPM_Mittel2_Cube",Datenstand,"Alle Beteiligungen","Alle Koordinatoren","Alle Unternehmensgrößen","-2",$B10,14,"Alle Expertevaluierungsstatus","-2","-2",1,"-2","Alle","-2","anzahl_koordinatoren")</f>
        <v>7</v>
      </c>
      <c r="R10" s="171">
        <f ca="1">IFERROR(_xll.PALO.DATAC("jedoxtest/EU_PM_CUBE02","EUPM_Mittel2_Cube",Datenstand,"Alle Beteiligungen","Alle Koordinatoren","Alle Unternehmensgrößen","-2",$B10,14,"Alle Expertevaluierungsstatus","-2","-2",1,"-2","Alle","-2","anzahl_koordinatoren")/_xll.PALO.DATAC("jedoxtest/EU_PM_CUBE02","EUPM_Mittel2_Cube",Datenstand,"Alle Beteiligungen","Alle Koordinatoren","Alle Unternehmensgrößen","-2",$B10,14,"Alle Expertevaluierungsstatus","-2","-2",-2,"-2","Alle","-2","anzahl_koordinatoren"),"-  ")</f>
        <v>2.5179856115107913E-2</v>
      </c>
      <c r="S10" s="172">
        <f ca="1">_xll.PALO.DATAC("jedoxtest/EU_PM_CUBE02","EUPM_Mittel2_Cube",Datenstand,"Alle Beteiligungen","Alle Koordinatoren","Alle Unternehmensgrößen","-2",$B10,14,"Alle Expertevaluierungsstatus","-2","-2","-2","-2","Alle","-2","foerderung")/1000000</f>
        <v>2932.9622852300099</v>
      </c>
      <c r="T10" s="172">
        <f ca="1">_xll.PALO.DATAC("jedoxtest/EU_PM_CUBE02","EUPM_Mittel2_Cube",Datenstand,"Alle Beteiligungen","Alle Koordinatoren","Alle Unternehmensgrößen","-2",$B10,14,"Alle Expertevaluierungsstatus","-2","-2",1000001,"-2","Alle","-2","foerderung")/1000000</f>
        <v>2448.5504608200104</v>
      </c>
      <c r="U10" s="172">
        <f ca="1">_xll.PALO.DATAC("jedoxtest/EU_PM_CUBE02","EUPM_Mittel2_Cube",Datenstand,"Alle Beteiligungen","Alle Koordinatoren","Alle Unternehmensgrößen","-2",$B10,14,"Alle Expertevaluierungsstatus","-2","-2",1,"-2","Alle","-2","foerderung")/1000000</f>
        <v>52.59457329</v>
      </c>
      <c r="V10" s="173">
        <f ca="1">IFERROR(_xll.PALO.DATAC("jedoxtest/EU_PM_CUBE02","EUPM_Mittel2_Cube",Datenstand,"Alle Beteiligungen","Alle Koordinatoren","Alle Unternehmensgrößen","-2",$B10,14,"Alle Expertevaluierungsstatus","-2","-2",1,"-2","Alle","-2","foerderung")/_xll.PALO.DATAC("jedoxtest/EU_PM_CUBE02","EUPM_Mittel2_Cube",Datenstand,"Alle Beteiligungen","Alle Koordinatoren","Alle Unternehmensgrößen","-2",$B10,14,"Alle Expertevaluierungsstatus","-2","-2",-2,"-2","Alle","-2","foerderung"),"-  ")</f>
        <v>1.7932236481477772E-2</v>
      </c>
    </row>
    <row r="11" spans="2:24" ht="18" customHeight="1">
      <c r="B11" s="47">
        <v>3</v>
      </c>
      <c r="C11" s="77" t="str">
        <f ca="1">_xll.PALO.DATA("jedoxtest/EU_PM_CUBE02","#_Organisationstyp","ffg_Bezeichnung",$B11)</f>
        <v>Sonstige</v>
      </c>
      <c r="D11" s="126">
        <f ca="1">_xll.PALO.DATAC("jedoxtest/EU_PM_CUBE02","EUPM_Mittel2_Cube",Datenstand,"Alle Beteiligungen","Alle Koordinatoren","Alle Unternehmensgrößen","-2",$B11,5,"Alle Expertevaluierungsstatus","-2","-2","-2","-2","Alle","-2","anzahl_beteiligungen")</f>
        <v>53493</v>
      </c>
      <c r="E11" s="126">
        <f ca="1">_xll.PALO.DATAC("jedoxtest/EU_PM_CUBE02","EUPM_Mittel2_Cube",Datenstand,"Alle Beteiligungen","Alle Koordinatoren","Alle Unternehmensgrößen","-2",$B11,5,"Alle Expertevaluierungsstatus","-2","-2",1000001,"-2","Alle","-2","anzahl_beteiligungen")</f>
        <v>45021</v>
      </c>
      <c r="F11" s="193">
        <f ca="1">_xll.PALO.DATAC("jedoxtest/EU_PM_CUBE02","EUPM_Mittel2_Cube",Datenstand,"Alle Beteiligungen","Alle Koordinatoren","Alle Unternehmensgrößen","-2",$B11,5,"Alle Expertevaluierungsstatus","-2","-2",1,"-2","Alle","-2","anzahl_beteiligungen")</f>
        <v>1281</v>
      </c>
      <c r="G11" s="175">
        <f ca="1">IFERROR(_xll.PALO.DATAC("jedoxtest/EU_PM_CUBE02","EUPM_Mittel2_Cube",Datenstand,"Alle Beteiligungen","Alle Koordinatoren","Alle Unternehmensgrößen","-2",$B11,5,"Alle Expertevaluierungsstatus","-2","-2",1,"-2","Alle","-2","anzahl_beteiligungen")/_xll.PALO.DATAC("jedoxtest/EU_PM_CUBE02","EUPM_Mittel2_Cube",Datenstand,"Alle Beteiligungen","Alle Koordinatoren","Alle Unternehmensgrößen","-2",$B11,5,"Alle Expertevaluierungsstatus","-2","-2",-2,"-2","Alle","-2","anzahl_beteiligungen"),"-  ")</f>
        <v>2.3947058493634682E-2</v>
      </c>
      <c r="H11" s="126">
        <f ca="1">_xll.PALO.DATAC("jedoxtest/EU_PM_CUBE02","EUPM_Mittel2_Cube",Datenstand,"Alle Beteiligungen","Alle Koordinatoren","Alle Unternehmensgrößen","-2",$B11,14,"Alle Expertevaluierungsstatus","-2","-2","-2","-2","Alle","-2","anzahl_beteiligungen")</f>
        <v>10401</v>
      </c>
      <c r="I11" s="126">
        <f ca="1">_xll.PALO.DATAC("jedoxtest/EU_PM_CUBE02","EUPM_Mittel2_Cube",Datenstand,"Alle Beteiligungen","Alle Koordinatoren","Alle Unternehmensgrößen","-2",$B11,14,"Alle Expertevaluierungsstatus","-2","-2",1000001,"-2","Alle","-2","anzahl_beteiligungen")</f>
        <v>8918</v>
      </c>
      <c r="J11" s="193">
        <f ca="1">_xll.PALO.DATAC("jedoxtest/EU_PM_CUBE02","EUPM_Mittel2_Cube",Datenstand,"Alle Beteiligungen","Alle Koordinatoren","Alle Unternehmensgrößen","-2",$B11,14,"Alle Expertevaluierungsstatus","-2","-2",1,"-2","Alle","-2","anzahl_beteiligungen")</f>
        <v>260</v>
      </c>
      <c r="K11" s="175">
        <f ca="1">IFERROR(_xll.PALO.DATAC("jedoxtest/EU_PM_CUBE02","EUPM_Mittel2_Cube",Datenstand,"Alle Beteiligungen","Alle Koordinatoren","Alle Unternehmensgrößen","-2",$B11,14,"Alle Expertevaluierungsstatus","-2","-2",1,"-2","Alle","-2","anzahl_beteiligungen")/_xll.PALO.DATAC("jedoxtest/EU_PM_CUBE02","EUPM_Mittel2_Cube",Datenstand,"Alle Beteiligungen","Alle Koordinatoren","Alle Unternehmensgrößen","-2",$B11,14,"Alle Expertevaluierungsstatus","-2","-2",-2,"-2","Alle","-2","anzahl_beteiligungen"),"-  ")</f>
        <v>2.4997596384962985E-2</v>
      </c>
      <c r="L11" s="175">
        <f t="shared" ca="1" si="1"/>
        <v>0.19443665526330547</v>
      </c>
      <c r="M11" s="175">
        <f t="shared" ca="1" si="2"/>
        <v>0.19808533795339953</v>
      </c>
      <c r="N11" s="175">
        <f t="shared" ca="1" si="3"/>
        <v>0.2029664324746292</v>
      </c>
      <c r="O11" s="170">
        <f ca="1">_xll.PALO.DATAC("jedoxtest/EU_PM_CUBE02","EUPM_Mittel2_Cube",Datenstand,"Alle Beteiligungen","Alle Koordinatoren","Alle Unternehmensgrößen","-2",$B11,14,"Alle Expertevaluierungsstatus","-2","-2","-2","-2","Alle","-2","anzahl_koordinatoren")</f>
        <v>446</v>
      </c>
      <c r="P11" s="170">
        <f ca="1">_xll.PALO.DATAC("jedoxtest/EU_PM_CUBE02","EUPM_Mittel2_Cube",Datenstand,"Alle Beteiligungen","Alle Koordinatoren","Alle Unternehmensgrößen","-2",$B11,14,"Alle Expertevaluierungsstatus","-2","-2",1000001,"-2","Alle","-2","anzahl_koordinatoren")</f>
        <v>405</v>
      </c>
      <c r="Q11" s="170">
        <f ca="1">_xll.PALO.DATAC("jedoxtest/EU_PM_CUBE02","EUPM_Mittel2_Cube",Datenstand,"Alle Beteiligungen","Alle Koordinatoren","Alle Unternehmensgrößen","-2",$B11,14,"Alle Expertevaluierungsstatus","-2","-2",1,"-2","Alle","-2","anzahl_koordinatoren")</f>
        <v>10</v>
      </c>
      <c r="R11" s="171">
        <f ca="1">IFERROR(_xll.PALO.DATAC("jedoxtest/EU_PM_CUBE02","EUPM_Mittel2_Cube",Datenstand,"Alle Beteiligungen","Alle Koordinatoren","Alle Unternehmensgrößen","-2",$B11,14,"Alle Expertevaluierungsstatus","-2","-2",1,"-2","Alle","-2","anzahl_koordinatoren")/_xll.PALO.DATAC("jedoxtest/EU_PM_CUBE02","EUPM_Mittel2_Cube",Datenstand,"Alle Beteiligungen","Alle Koordinatoren","Alle Unternehmensgrößen","-2",$B11,14,"Alle Expertevaluierungsstatus","-2","-2",-2,"-2","Alle","-2","anzahl_koordinatoren"),"-  ")</f>
        <v>2.2421524663677129E-2</v>
      </c>
      <c r="S11" s="172">
        <f ca="1">_xll.PALO.DATAC("jedoxtest/EU_PM_CUBE02","EUPM_Mittel2_Cube",Datenstand,"Alle Beteiligungen","Alle Koordinatoren","Alle Unternehmensgrößen","-2",$B11,14,"Alle Expertevaluierungsstatus","-2","-2","-2","-2","Alle","-2","foerderung")/1000000</f>
        <v>4004.5014812000099</v>
      </c>
      <c r="T11" s="172">
        <f ca="1">_xll.PALO.DATAC("jedoxtest/EU_PM_CUBE02","EUPM_Mittel2_Cube",Datenstand,"Alle Beteiligungen","Alle Koordinatoren","Alle Unternehmensgrößen","-2",$B11,14,"Alle Expertevaluierungsstatus","-2","-2",1000001,"-2","Alle","-2","foerderung")/1000000</f>
        <v>3707.6135561700103</v>
      </c>
      <c r="U11" s="172">
        <f ca="1">_xll.PALO.DATAC("jedoxtest/EU_PM_CUBE02","EUPM_Mittel2_Cube",Datenstand,"Alle Beteiligungen","Alle Koordinatoren","Alle Unternehmensgrößen","-2",$B11,14,"Alle Expertevaluierungsstatus","-2","-2",1,"-2","Alle","-2","foerderung")/1000000</f>
        <v>102.10824422</v>
      </c>
      <c r="V11" s="173">
        <f ca="1">IFERROR(_xll.PALO.DATAC("jedoxtest/EU_PM_CUBE02","EUPM_Mittel2_Cube",Datenstand,"Alle Beteiligungen","Alle Koordinatoren","Alle Unternehmensgrößen","-2",$B11,14,"Alle Expertevaluierungsstatus","-2","-2",1,"-2","Alle","-2","foerderung")/_xll.PALO.DATAC("jedoxtest/EU_PM_CUBE02","EUPM_Mittel2_Cube",Datenstand,"Alle Beteiligungen","Alle Koordinatoren","Alle Unternehmensgrößen","-2",$B11,14,"Alle Expertevaluierungsstatus","-2","-2",-2,"-2","Alle","-2","foerderung"),"-  ")</f>
        <v>2.5498365951259858E-2</v>
      </c>
    </row>
    <row r="12" spans="2:24" ht="15" customHeight="1">
      <c r="B12" s="47"/>
    </row>
    <row r="13" spans="2:24" ht="15" customHeight="1">
      <c r="C13" s="740" t="str">
        <f ca="1">"Quelle: EC "&amp;_xll.PALO.DATA("jedoxtest/EU_PM_CUBE02","#_Datenstand","reference_month",Datenstand)&amp;"/"&amp;_xll.PALO.DATA("jedoxtest/EU_PM_CUBE02","#_Datenstand","reference_year",Datenstand)&amp;"; Darstellung FFG"</f>
        <v>Quelle: EC 5/2026; Darstellung FFG</v>
      </c>
      <c r="D13" s="740"/>
      <c r="E13" s="740"/>
      <c r="F13" s="740"/>
      <c r="G13" s="740"/>
      <c r="H13" s="740"/>
      <c r="I13" s="740"/>
      <c r="J13" s="740"/>
      <c r="K13" s="740"/>
      <c r="L13" s="740"/>
      <c r="M13" s="740"/>
      <c r="N13" s="740"/>
      <c r="O13" s="740"/>
      <c r="P13" s="740"/>
      <c r="Q13" s="740"/>
      <c r="R13" s="740"/>
      <c r="S13" s="740"/>
      <c r="T13" s="740"/>
      <c r="U13" s="740"/>
      <c r="V13" s="740"/>
    </row>
    <row r="14" spans="2:24" ht="15" customHeight="1">
      <c r="C14" s="312"/>
      <c r="D14" s="312"/>
      <c r="E14" s="312"/>
      <c r="F14" s="312"/>
      <c r="G14" s="312"/>
      <c r="H14" s="312"/>
      <c r="I14" s="312"/>
      <c r="J14" s="312"/>
      <c r="K14" s="312"/>
      <c r="L14" s="312"/>
      <c r="M14" s="312"/>
      <c r="N14" s="312"/>
      <c r="O14" s="312"/>
      <c r="P14" s="312"/>
      <c r="Q14" s="312"/>
      <c r="R14" s="312"/>
      <c r="S14" s="312"/>
      <c r="T14" s="312"/>
      <c r="U14" s="312"/>
      <c r="V14" s="312"/>
    </row>
    <row r="15" spans="2:24" ht="15" customHeight="1">
      <c r="F15" s="683"/>
      <c r="J15" s="683"/>
      <c r="N15" s="175"/>
    </row>
    <row r="17" spans="1:3" ht="15" hidden="1" customHeight="1">
      <c r="A17" s="74" t="b">
        <f ca="1">_xll.PALO.HIDEROW(ISBLANK($A$1))</f>
        <v>1</v>
      </c>
      <c r="B17" s="74" t="s">
        <v>191</v>
      </c>
      <c r="C17" s="74" t="str">
        <f ca="1">_xll.PALO.ENAME("jedoxtest/EU_PM_CUBE02","Datenstand",3)</f>
        <v>117</v>
      </c>
    </row>
  </sheetData>
  <mergeCells count="6">
    <mergeCell ref="C13:V13"/>
    <mergeCell ref="D4:F4"/>
    <mergeCell ref="H4:J4"/>
    <mergeCell ref="L4:N4"/>
    <mergeCell ref="O4:Q4"/>
    <mergeCell ref="S4:U4"/>
  </mergeCells>
  <pageMargins left="0.70866141732283472" right="0.70866141732283472" top="0.74803149606299213" bottom="0.74803149606299213" header="0.31496062992125984" footer="0.31496062992125984"/>
  <pageSetup paperSize="9" scale="87"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Z114"/>
  <sheetViews>
    <sheetView tabSelected="1" zoomScaleNormal="100" workbookViewId="0">
      <selection activeCell="E1" sqref="E1"/>
    </sheetView>
  </sheetViews>
  <sheetFormatPr baseColWidth="10" defaultColWidth="11.42578125" defaultRowHeight="15"/>
  <cols>
    <col min="1" max="1" width="4.140625" style="311" customWidth="1"/>
    <col min="2" max="2" width="6.5703125" style="311" hidden="1" customWidth="1"/>
    <col min="3" max="3" width="20.28515625" style="311" customWidth="1"/>
    <col min="4" max="9" width="19.28515625" style="311" customWidth="1"/>
    <col min="10" max="10" width="4.5703125" style="311" customWidth="1"/>
    <col min="11" max="11" width="11.28515625" style="311" customWidth="1"/>
    <col min="12" max="12" width="12.140625" style="311" customWidth="1"/>
    <col min="13" max="13" width="4.140625" style="311" customWidth="1"/>
    <col min="14" max="14" width="11" style="311" hidden="1" customWidth="1"/>
    <col min="15" max="21" width="11.42578125" style="311"/>
    <col min="22" max="22" width="15.140625" style="311" bestFit="1" customWidth="1"/>
    <col min="23" max="16384" width="11.42578125" style="311"/>
  </cols>
  <sheetData>
    <row r="1" spans="2:26" ht="15" customHeight="1">
      <c r="B1" s="311" t="b">
        <f ca="1">_xll.PALO.HIDECOLUMN(ISBLANK($A$1))</f>
        <v>1</v>
      </c>
      <c r="N1" s="311" t="b">
        <f ca="1">_xll.PALO.HIDECOLUMN(ISBLANK($A$1))</f>
        <v>1</v>
      </c>
    </row>
    <row r="2" spans="2:26" ht="24.75" customHeight="1">
      <c r="B2" s="195"/>
      <c r="C2" s="196" t="str">
        <f ca="1">"Österreichs Bundesländer in "&amp;_xll.PALO.DATA("jedoxtest/EU_PM_CUBE02","#_Datenstand","frameworkprog_long",Datenstand)</f>
        <v>Österreichs Bundesländer in Horizon Europe</v>
      </c>
      <c r="D2" s="197"/>
      <c r="E2" s="197"/>
      <c r="F2" s="197"/>
      <c r="G2" s="197"/>
      <c r="H2" s="197"/>
      <c r="I2" s="197"/>
      <c r="J2" s="197"/>
      <c r="K2" s="197"/>
      <c r="L2" s="197"/>
      <c r="M2" s="197"/>
    </row>
    <row r="3" spans="2:26" ht="15" customHeight="1"/>
    <row r="4" spans="2:26" ht="15" customHeight="1">
      <c r="S4" s="47"/>
      <c r="T4" s="47" t="s">
        <v>75</v>
      </c>
      <c r="U4" s="47" t="s">
        <v>76</v>
      </c>
      <c r="V4" s="203" t="s">
        <v>77</v>
      </c>
      <c r="W4" s="203" t="s">
        <v>78</v>
      </c>
      <c r="X4" s="203" t="s">
        <v>79</v>
      </c>
      <c r="Y4" s="203" t="s">
        <v>129</v>
      </c>
      <c r="Z4" s="203"/>
    </row>
    <row r="5" spans="2:26" ht="15" customHeight="1">
      <c r="S5" s="47" t="s">
        <v>71</v>
      </c>
      <c r="T5" s="47">
        <v>2.5</v>
      </c>
      <c r="U5" s="47">
        <v>10</v>
      </c>
      <c r="V5" s="198">
        <f ca="1">_xll.PALO.DATAC("jedoxtest/EU_PM_CUBE02","EUPM_Mittel2_Cube",Datenstand,"Alle Beteiligungen","Alle Koordinatoren","Alle Unternehmensgrößen","-2","Alle Organisationstypen",28,"Alle Expertevaluierungsstatus","-2","-2",46,"-2","Alle","-2","foerderung")</f>
        <v>2424344.13</v>
      </c>
      <c r="W5" s="204">
        <f ca="1">V5/1000000</f>
        <v>2.4243441299999997</v>
      </c>
      <c r="X5" s="462">
        <f ca="1">_xll.PALO.DATAC("jedoxtest/EU_PM_CUBE02","EUPM_Mittel2_Cube",Datenstand,"Alle Beteiligungen","Alle Koordinatoren","Alle Unternehmensgrößen","-2","Alle Organisationstypen",28,"Alle Expertevaluierungsstatus","-2","-2",46,"-2","Alle","-2","anzahl_beteiligungen")</f>
        <v>13</v>
      </c>
      <c r="Y5" s="203">
        <f ca="1">_xlfn.RANK.EQ(V5,$V$5:$V$13)</f>
        <v>9</v>
      </c>
      <c r="Z5" s="203" t="str">
        <f>S5</f>
        <v>Vorarlberg</v>
      </c>
    </row>
    <row r="6" spans="2:26" ht="15" customHeight="1">
      <c r="S6" s="47" t="s">
        <v>70</v>
      </c>
      <c r="T6" s="47">
        <v>7</v>
      </c>
      <c r="U6" s="47">
        <v>10.5</v>
      </c>
      <c r="V6" s="198">
        <f ca="1">_xll.PALO.DATAC("jedoxtest/EU_PM_CUBE02","EUPM_Mittel2_Cube",Datenstand,"Alle Beteiligungen","Alle Koordinatoren","Alle Unternehmensgrößen","-2","Alle Organisationstypen",28,"Alle Expertevaluierungsstatus","-2","-2",40,"-2","Alle","-2","foerderung")</f>
        <v>89160279.980000004</v>
      </c>
      <c r="W6" s="204">
        <f t="shared" ref="W6:W13" ca="1" si="0">V6/1000000</f>
        <v>89.160279979999999</v>
      </c>
      <c r="X6" s="462">
        <f ca="1">_xll.PALO.DATAC("jedoxtest/EU_PM_CUBE02","EUPM_Mittel2_Cube",Datenstand,"Alle Beteiligungen","Alle Koordinatoren","Alle Unternehmensgrößen","-2","Alle Organisationstypen",28,"Alle Expertevaluierungsstatus","-2","-2",40,"-2","Alle","-2","anzahl_beteiligungen")</f>
        <v>212</v>
      </c>
      <c r="Y6" s="203">
        <f t="shared" ref="Y6:Y13" ca="1" si="1">_xlfn.RANK.EQ(V6,$V$5:$V$13)</f>
        <v>5</v>
      </c>
      <c r="Z6" s="203" t="str">
        <f t="shared" ref="Z6:Z13" si="2">S6</f>
        <v>Tirol</v>
      </c>
    </row>
    <row r="7" spans="2:26" ht="15" customHeight="1">
      <c r="S7" s="47" t="s">
        <v>68</v>
      </c>
      <c r="T7" s="47">
        <v>14</v>
      </c>
      <c r="U7" s="47">
        <v>12</v>
      </c>
      <c r="V7" s="198">
        <f ca="1">_xll.PALO.DATAC("jedoxtest/EU_PM_CUBE02","EUPM_Mittel2_Cube",Datenstand,"Alle Beteiligungen","Alle Koordinatoren","Alle Unternehmensgrößen","-2","Alle Organisationstypen",28,"Alle Expertevaluierungsstatus","-2","-2",36,"-2","Alle","-2","foerderung")</f>
        <v>31207881.66</v>
      </c>
      <c r="W7" s="204">
        <f t="shared" ca="1" si="0"/>
        <v>31.207881660000002</v>
      </c>
      <c r="X7" s="462">
        <f ca="1">_xll.PALO.DATAC("jedoxtest/EU_PM_CUBE02","EUPM_Mittel2_Cube",Datenstand,"Alle Beteiligungen","Alle Koordinatoren","Alle Unternehmensgrößen","-2","Alle Organisationstypen",28,"Alle Expertevaluierungsstatus","-2","-2",36,"-2","Alle","-2","anzahl_beteiligungen")</f>
        <v>73</v>
      </c>
      <c r="Y7" s="203">
        <f t="shared" ca="1" si="1"/>
        <v>7</v>
      </c>
      <c r="Z7" s="203" t="str">
        <f t="shared" si="2"/>
        <v>Salzburg</v>
      </c>
    </row>
    <row r="8" spans="2:26" ht="15" customHeight="1">
      <c r="S8" s="47" t="s">
        <v>67</v>
      </c>
      <c r="T8" s="47">
        <v>16.399999999999999</v>
      </c>
      <c r="U8" s="47">
        <v>19</v>
      </c>
      <c r="V8" s="198">
        <f ca="1">_xll.PALO.DATAC("jedoxtest/EU_PM_CUBE02","EUPM_Mittel2_Cube",Datenstand,"Alle Beteiligungen","Alle Koordinatoren","Alle Unternehmensgrößen","-2","Alle Organisationstypen",28,"Alle Expertevaluierungsstatus","-2","-2",30,"-2","Alle","-2","foerderung")</f>
        <v>105567125.48999999</v>
      </c>
      <c r="W8" s="204">
        <f t="shared" ca="1" si="0"/>
        <v>105.56712549</v>
      </c>
      <c r="X8" s="462">
        <f ca="1">_xll.PALO.DATAC("jedoxtest/EU_PM_CUBE02","EUPM_Mittel2_Cube",Datenstand,"Alle Beteiligungen","Alle Koordinatoren","Alle Unternehmensgrößen","-2","Alle Organisationstypen",28,"Alle Expertevaluierungsstatus","-2","-2",30,"-2","Alle","-2","anzahl_beteiligungen")</f>
        <v>262</v>
      </c>
      <c r="Y8" s="203">
        <f t="shared" ca="1" si="1"/>
        <v>4</v>
      </c>
      <c r="Z8" s="203" t="str">
        <f t="shared" si="2"/>
        <v>Oberösterreich</v>
      </c>
    </row>
    <row r="9" spans="2:26" ht="15" customHeight="1">
      <c r="S9" s="47" t="s">
        <v>66</v>
      </c>
      <c r="T9" s="47">
        <v>22.5</v>
      </c>
      <c r="U9" s="47">
        <v>19.7</v>
      </c>
      <c r="V9" s="198">
        <f ca="1">_xll.PALO.DATAC("jedoxtest/EU_PM_CUBE02","EUPM_Mittel2_Cube",Datenstand,"Alle Beteiligungen","Alle Koordinatoren","Alle Unternehmensgrößen","-2","Alle Organisationstypen",28,"Alle Expertevaluierungsstatus","-2","-2",7,"-2","Alle","-2","foerderung")</f>
        <v>189109415.31</v>
      </c>
      <c r="W9" s="204">
        <f t="shared" ca="1" si="0"/>
        <v>189.10941531</v>
      </c>
      <c r="X9" s="462">
        <f ca="1">_xll.PALO.DATAC("jedoxtest/EU_PM_CUBE02","EUPM_Mittel2_Cube",Datenstand,"Alle Beteiligungen","Alle Koordinatoren","Alle Unternehmensgrößen","-2","Alle Organisationstypen",28,"Alle Expertevaluierungsstatus","-2","-2",7,"-2","Alle","-2","anzahl_beteiligungen")</f>
        <v>355</v>
      </c>
      <c r="Y9" s="203">
        <f t="shared" ca="1" si="1"/>
        <v>3</v>
      </c>
      <c r="Z9" s="203" t="str">
        <f t="shared" si="2"/>
        <v>Niederösterreich</v>
      </c>
    </row>
    <row r="10" spans="2:26" ht="15" customHeight="1">
      <c r="S10" s="47" t="s">
        <v>72</v>
      </c>
      <c r="T10" s="47">
        <v>24.2</v>
      </c>
      <c r="U10" s="47">
        <v>20</v>
      </c>
      <c r="V10" s="198">
        <f ca="1">_xll.PALO.DATAC("jedoxtest/EU_PM_CUBE02","EUPM_Mittel2_Cube",Datenstand,"Alle Beteiligungen","Alle Koordinatoren","Alle Unternehmensgrößen","-2","Alle Organisationstypen",28,"Alle Expertevaluierungsstatus","-2","-2",15,"-2","Alle","-2","foerderung")</f>
        <v>1002133123.29</v>
      </c>
      <c r="W10" s="204">
        <f t="shared" ca="1" si="0"/>
        <v>1002.13312329</v>
      </c>
      <c r="X10" s="199">
        <f ca="1">_xll.PALO.DATAC("jedoxtest/EU_PM_CUBE02","EUPM_Mittel2_Cube",Datenstand,"Alle Beteiligungen","Alle Koordinatoren","Alle Unternehmensgrößen","-2","Alle Organisationstypen",28,"Alle Expertevaluierungsstatus","-2","-2",15,"-2","Alle","-2","anzahl_beteiligungen")</f>
        <v>2061</v>
      </c>
      <c r="Y10" s="203">
        <f t="shared" ca="1" si="1"/>
        <v>1</v>
      </c>
      <c r="Z10" s="203" t="str">
        <f t="shared" si="2"/>
        <v>Wien</v>
      </c>
    </row>
    <row r="11" spans="2:26" ht="15" customHeight="1">
      <c r="S11" s="47" t="s">
        <v>65</v>
      </c>
      <c r="T11" s="47">
        <v>15.5</v>
      </c>
      <c r="U11" s="47">
        <v>6</v>
      </c>
      <c r="V11" s="198">
        <f ca="1">_xll.PALO.DATAC("jedoxtest/EU_PM_CUBE02","EUPM_Mittel2_Cube",Datenstand,"Alle Beteiligungen","Alle Koordinatoren","Alle Unternehmensgrößen","-2","Alle Organisationstypen",28,"Alle Expertevaluierungsstatus","-2","-2",18,"-2","Alle","-2","foerderung")</f>
        <v>46475940.759999998</v>
      </c>
      <c r="W11" s="204">
        <f t="shared" ca="1" si="0"/>
        <v>46.47594076</v>
      </c>
      <c r="X11" s="462">
        <f ca="1">_xll.PALO.DATAC("jedoxtest/EU_PM_CUBE02","EUPM_Mittel2_Cube",Datenstand,"Alle Beteiligungen","Alle Koordinatoren","Alle Unternehmensgrößen","-2","Alle Organisationstypen",28,"Alle Expertevaluierungsstatus","-2","-2",18,"-2","Alle","-2","anzahl_beteiligungen")</f>
        <v>128</v>
      </c>
      <c r="Y11" s="203">
        <f t="shared" ca="1" si="1"/>
        <v>6</v>
      </c>
      <c r="Z11" s="203" t="str">
        <f t="shared" si="2"/>
        <v>Kärnten</v>
      </c>
    </row>
    <row r="12" spans="2:26" ht="15" customHeight="1">
      <c r="S12" s="47" t="s">
        <v>69</v>
      </c>
      <c r="T12" s="47">
        <v>20.7</v>
      </c>
      <c r="U12" s="47">
        <v>11</v>
      </c>
      <c r="V12" s="198">
        <f ca="1">_xll.PALO.DATAC("jedoxtest/EU_PM_CUBE02","EUPM_Mittel2_Cube",Datenstand,"Alle Beteiligungen","Alle Koordinatoren","Alle Unternehmensgrößen","-2","Alle Organisationstypen",28,"Alle Expertevaluierungsstatus","-2","-2",22,"-2","Alle","-2","foerderung")</f>
        <v>386905170.31999999</v>
      </c>
      <c r="W12" s="204">
        <f t="shared" ca="1" si="0"/>
        <v>386.90517031999997</v>
      </c>
      <c r="X12" s="462">
        <f ca="1">_xll.PALO.DATAC("jedoxtest/EU_PM_CUBE02","EUPM_Mittel2_Cube",Datenstand,"Alle Beteiligungen","Alle Koordinatoren","Alle Unternehmensgrößen","-2","Alle Organisationstypen",28,"Alle Expertevaluierungsstatus","-2","-2",22,"-2","Alle","-2","anzahl_beteiligungen")</f>
        <v>797</v>
      </c>
      <c r="Y12" s="203">
        <f t="shared" ca="1" si="1"/>
        <v>2</v>
      </c>
      <c r="Z12" s="203" t="str">
        <f t="shared" si="2"/>
        <v>Steiermark</v>
      </c>
    </row>
    <row r="13" spans="2:26" ht="15" customHeight="1">
      <c r="S13" s="47" t="s">
        <v>64</v>
      </c>
      <c r="T13" s="47">
        <v>25.2</v>
      </c>
      <c r="U13" s="47">
        <v>14</v>
      </c>
      <c r="V13" s="198">
        <f ca="1">_xll.PALO.DATAC("jedoxtest/EU_PM_CUBE02","EUPM_Mittel2_Cube",Datenstand,"Alle Beteiligungen","Alle Koordinatoren","Alle Unternehmensgrößen","-2","Alle Organisationstypen",28,"Alle Expertevaluierungsstatus","-2","-2",3,"-2","Alle","-2","foerderung")</f>
        <v>3218286.51</v>
      </c>
      <c r="W13" s="204">
        <f t="shared" ca="1" si="0"/>
        <v>3.21828651</v>
      </c>
      <c r="X13" s="462">
        <f ca="1">_xll.PALO.DATAC("jedoxtest/EU_PM_CUBE02","EUPM_Mittel2_Cube",Datenstand,"Alle Beteiligungen","Alle Koordinatoren","Alle Unternehmensgrößen","-2","Alle Organisationstypen",28,"Alle Expertevaluierungsstatus","-2","-2",3,"-2","Alle","-2","anzahl_beteiligungen")</f>
        <v>18</v>
      </c>
      <c r="Y13" s="203">
        <f t="shared" ca="1" si="1"/>
        <v>8</v>
      </c>
      <c r="Z13" s="203" t="str">
        <f t="shared" si="2"/>
        <v>Burgenland</v>
      </c>
    </row>
    <row r="14" spans="2:26" ht="15" customHeight="1">
      <c r="S14" s="203"/>
      <c r="T14" s="203"/>
      <c r="U14" s="203"/>
      <c r="V14" s="203"/>
      <c r="W14" s="203"/>
    </row>
    <row r="15" spans="2:26" ht="15" customHeight="1"/>
    <row r="16" spans="2:26" ht="15" customHeight="1"/>
    <row r="17" spans="1:13" ht="15" customHeight="1"/>
    <row r="18" spans="1:13" ht="15" customHeight="1"/>
    <row r="19" spans="1:13" ht="15" customHeight="1"/>
    <row r="20" spans="1:13" ht="15" customHeight="1"/>
    <row r="21" spans="1:13" ht="15" customHeight="1"/>
    <row r="22" spans="1:13" ht="15" customHeight="1"/>
    <row r="23" spans="1:13" ht="15" customHeight="1"/>
    <row r="24" spans="1:13" ht="15" customHeight="1"/>
    <row r="25" spans="1:13" ht="15" customHeight="1"/>
    <row r="26" spans="1:13" ht="15" customHeight="1"/>
    <row r="27" spans="1:13" ht="15" customHeight="1"/>
    <row r="28" spans="1:13" ht="15" customHeight="1"/>
    <row r="29" spans="1:13" ht="42.75" customHeight="1"/>
    <row r="30" spans="1:13" ht="23.1" customHeight="1">
      <c r="B30" s="200"/>
      <c r="C30" s="201" t="s">
        <v>282</v>
      </c>
      <c r="D30" s="202"/>
      <c r="E30" s="202"/>
      <c r="F30" s="202"/>
      <c r="G30" s="202"/>
      <c r="H30" s="202"/>
      <c r="I30" s="202"/>
      <c r="J30" s="202"/>
      <c r="K30" s="202"/>
      <c r="L30" s="202"/>
      <c r="M30" s="202"/>
    </row>
    <row r="31" spans="1:13" customFormat="1"/>
    <row r="32" spans="1:13" customFormat="1" hidden="1">
      <c r="A32" s="311" t="b">
        <f ca="1">_xll.PALO.HIDEROW(ISBLANK($A$1))</f>
        <v>1</v>
      </c>
      <c r="D32" t="s">
        <v>22</v>
      </c>
      <c r="E32">
        <v>1</v>
      </c>
      <c r="F32">
        <v>2</v>
      </c>
      <c r="G32">
        <v>5</v>
      </c>
      <c r="H32">
        <v>4</v>
      </c>
      <c r="I32">
        <v>3</v>
      </c>
    </row>
    <row r="33" spans="1:16" s="517" customFormat="1">
      <c r="D33" s="670" t="s">
        <v>34</v>
      </c>
      <c r="E33" s="518" t="str">
        <f ca="1">_xll.PALO.DATA("jedoxtest/EU_PM_CUBE02","#_Organisationstyp","ffg_Bezeichnung",E$32)</f>
        <v>Hochschule</v>
      </c>
      <c r="F33" s="518" t="str">
        <f ca="1">_xll.PALO.DATA("jedoxtest/EU_PM_CUBE02","#_Organisationstyp","ffg_Bezeichnung",F$32)</f>
        <v>Unternehmen</v>
      </c>
      <c r="G33" s="518" t="str">
        <f ca="1">_xll.PALO.DATA("jedoxtest/EU_PM_CUBE02","#_Organisationstyp","ffg_Bezeichnung",G$32)</f>
        <v>Auniv.Forschung</v>
      </c>
      <c r="H33" s="518" t="str">
        <f ca="1">_xll.PALO.DATA("jedoxtest/EU_PM_CUBE02","#_Organisationstyp","ffg_Bezeichnung",H$32)</f>
        <v>Öff.Institution</v>
      </c>
      <c r="I33" s="518" t="str">
        <f ca="1">_xll.PALO.DATA("jedoxtest/EU_PM_CUBE02","#_Organisationstyp","ffg_Bezeichnung",I$32)</f>
        <v>Sonstige</v>
      </c>
    </row>
    <row r="34" spans="1:16" customFormat="1">
      <c r="B34">
        <v>3</v>
      </c>
      <c r="C34" s="693" t="str">
        <f ca="1">_xll.PALO.DATA("jedoxtest/EU_PM_CUBE02","#_Staatengruppen_und_NUTS","Langbezeichnung",$B34)</f>
        <v>Burgenland</v>
      </c>
      <c r="D34" s="671">
        <f ca="1">_xll.PALO.DATAC("jedoxtest/EU_PM_CUBE02","EUPM_Mittel2_Cube",Datenstand,"Alle Beteiligungen","Alle Koordinatoren","Alle Unternehmensgrößen","-2",D$32,28,"Alle Expertevaluierungsstatus","-2","-2",$B34,"-2","Alle","-2","anzahl_beteiligungen")</f>
        <v>18</v>
      </c>
      <c r="E34" s="115">
        <f ca="1">_xll.PALO.DATAC("jedoxtest/EU_PM_CUBE02","EUPM_Mittel2_Cube",Datenstand,"Alle Beteiligungen","Alle Koordinatoren","Alle Unternehmensgrößen","-2",E$32,28,"Alle Expertevaluierungsstatus","-2","-2",$B34,"-2","Alle","-2","anzahl_beteiligungen")</f>
        <v>5</v>
      </c>
      <c r="F34" s="115">
        <f ca="1">_xll.PALO.DATAC("jedoxtest/EU_PM_CUBE02","EUPM_Mittel2_Cube",Datenstand,"Alle Beteiligungen","Alle Koordinatoren","Alle Unternehmensgrößen","-2",F$32,28,"Alle Expertevaluierungsstatus","-2","-2",$B34,"-2","Alle","-2","anzahl_beteiligungen")</f>
        <v>9</v>
      </c>
      <c r="G34" s="115">
        <f ca="1">_xll.PALO.DATAC("jedoxtest/EU_PM_CUBE02","EUPM_Mittel2_Cube",Datenstand,"Alle Beteiligungen","Alle Koordinatoren","Alle Unternehmensgrößen","-2",G$32,28,"Alle Expertevaluierungsstatus","-2","-2",$B34,"-2","Alle","-2","anzahl_beteiligungen")</f>
        <v>3</v>
      </c>
      <c r="H34" s="115">
        <f ca="1">_xll.PALO.DATAC("jedoxtest/EU_PM_CUBE02","EUPM_Mittel2_Cube",Datenstand,"Alle Beteiligungen","Alle Koordinatoren","Alle Unternehmensgrößen","-2",H$32,28,"Alle Expertevaluierungsstatus","-2","-2",$B34,"-2","Alle","-2","anzahl_beteiligungen")</f>
        <v>1</v>
      </c>
      <c r="I34" s="115">
        <f ca="1">_xll.PALO.DATAC("jedoxtest/EU_PM_CUBE02","EUPM_Mittel2_Cube",Datenstand,"Alle Beteiligungen","Alle Koordinatoren","Alle Unternehmensgrößen","-2",I$32,28,"Alle Expertevaluierungsstatus","-2","-2",$B34,"-2","Alle","-2","anzahl_beteiligungen")</f>
        <v>0</v>
      </c>
      <c r="P34" s="476"/>
    </row>
    <row r="35" spans="1:16" customFormat="1">
      <c r="B35">
        <v>18</v>
      </c>
      <c r="C35" s="694" t="str">
        <f ca="1">_xll.PALO.DATA("jedoxtest/EU_PM_CUBE02","#_Staatengruppen_und_NUTS","Langbezeichnung",$B35)</f>
        <v>Kärnten</v>
      </c>
      <c r="D35" s="671">
        <f ca="1">_xll.PALO.DATAC("jedoxtest/EU_PM_CUBE02","EUPM_Mittel2_Cube",Datenstand,"Alle Beteiligungen","Alle Koordinatoren","Alle Unternehmensgrößen","-2",D$32,28,"Alle Expertevaluierungsstatus","-2","-2",$B35,"-2","Alle","-2","anzahl_beteiligungen")</f>
        <v>128</v>
      </c>
      <c r="E35" s="466">
        <f ca="1">_xll.PALO.DATAC("jedoxtest/EU_PM_CUBE02","EUPM_Mittel2_Cube",Datenstand,"Alle Beteiligungen","Alle Koordinatoren","Alle Unternehmensgrößen","-2",E$32,28,"Alle Expertevaluierungsstatus","-2","-2",$B35,"-2","Alle","-2","anzahl_beteiligungen")</f>
        <v>17</v>
      </c>
      <c r="F35" s="466">
        <f ca="1">_xll.PALO.DATAC("jedoxtest/EU_PM_CUBE02","EUPM_Mittel2_Cube",Datenstand,"Alle Beteiligungen","Alle Koordinatoren","Alle Unternehmensgrößen","-2",F$32,28,"Alle Expertevaluierungsstatus","-2","-2",$B35,"-2","Alle","-2","anzahl_beteiligungen")</f>
        <v>91</v>
      </c>
      <c r="G35" s="466">
        <f ca="1">_xll.PALO.DATAC("jedoxtest/EU_PM_CUBE02","EUPM_Mittel2_Cube",Datenstand,"Alle Beteiligungen","Alle Koordinatoren","Alle Unternehmensgrößen","-2",G$32,28,"Alle Expertevaluierungsstatus","-2","-2",$B35,"-2","Alle","-2","anzahl_beteiligungen")</f>
        <v>12</v>
      </c>
      <c r="H35" s="466">
        <f ca="1">_xll.PALO.DATAC("jedoxtest/EU_PM_CUBE02","EUPM_Mittel2_Cube",Datenstand,"Alle Beteiligungen","Alle Koordinatoren","Alle Unternehmensgrößen","-2",H$32,28,"Alle Expertevaluierungsstatus","-2","-2",$B35,"-2","Alle","-2","anzahl_beteiligungen")</f>
        <v>3</v>
      </c>
      <c r="I35" s="466">
        <f ca="1">_xll.PALO.DATAC("jedoxtest/EU_PM_CUBE02","EUPM_Mittel2_Cube",Datenstand,"Alle Beteiligungen","Alle Koordinatoren","Alle Unternehmensgrößen","-2",I$32,28,"Alle Expertevaluierungsstatus","-2","-2",$B35,"-2","Alle","-2","anzahl_beteiligungen")</f>
        <v>5</v>
      </c>
      <c r="P35" s="476"/>
    </row>
    <row r="36" spans="1:16" customFormat="1">
      <c r="B36">
        <v>7</v>
      </c>
      <c r="C36" s="694" t="str">
        <f ca="1">_xll.PALO.DATA("jedoxtest/EU_PM_CUBE02","#_Staatengruppen_und_NUTS","Langbezeichnung",$B36)</f>
        <v>Niederösterreich</v>
      </c>
      <c r="D36" s="671">
        <f ca="1">_xll.PALO.DATAC("jedoxtest/EU_PM_CUBE02","EUPM_Mittel2_Cube",Datenstand,"Alle Beteiligungen","Alle Koordinatoren","Alle Unternehmensgrößen","-2",D$32,28,"Alle Expertevaluierungsstatus","-2","-2",$B36,"-2","Alle","-2","anzahl_beteiligungen")</f>
        <v>355</v>
      </c>
      <c r="E36" s="466">
        <f ca="1">_xll.PALO.DATAC("jedoxtest/EU_PM_CUBE02","EUPM_Mittel2_Cube",Datenstand,"Alle Beteiligungen","Alle Koordinatoren","Alle Unternehmensgrößen","-2",E$32,28,"Alle Expertevaluierungsstatus","-2","-2",$B36,"-2","Alle","-2","anzahl_beteiligungen")</f>
        <v>111</v>
      </c>
      <c r="F36" s="466">
        <f ca="1">_xll.PALO.DATAC("jedoxtest/EU_PM_CUBE02","EUPM_Mittel2_Cube",Datenstand,"Alle Beteiligungen","Alle Koordinatoren","Alle Unternehmensgrößen","-2",F$32,28,"Alle Expertevaluierungsstatus","-2","-2",$B36,"-2","Alle","-2","anzahl_beteiligungen")</f>
        <v>98</v>
      </c>
      <c r="G36" s="466">
        <f ca="1">_xll.PALO.DATAC("jedoxtest/EU_PM_CUBE02","EUPM_Mittel2_Cube",Datenstand,"Alle Beteiligungen","Alle Koordinatoren","Alle Unternehmensgrößen","-2",G$32,28,"Alle Expertevaluierungsstatus","-2","-2",$B36,"-2","Alle","-2","anzahl_beteiligungen")</f>
        <v>107</v>
      </c>
      <c r="H36" s="466">
        <f ca="1">_xll.PALO.DATAC("jedoxtest/EU_PM_CUBE02","EUPM_Mittel2_Cube",Datenstand,"Alle Beteiligungen","Alle Koordinatoren","Alle Unternehmensgrößen","-2",H$32,28,"Alle Expertevaluierungsstatus","-2","-2",$B36,"-2","Alle","-2","anzahl_beteiligungen")</f>
        <v>13</v>
      </c>
      <c r="I36" s="466">
        <f ca="1">_xll.PALO.DATAC("jedoxtest/EU_PM_CUBE02","EUPM_Mittel2_Cube",Datenstand,"Alle Beteiligungen","Alle Koordinatoren","Alle Unternehmensgrößen","-2",I$32,28,"Alle Expertevaluierungsstatus","-2","-2",$B36,"-2","Alle","-2","anzahl_beteiligungen")</f>
        <v>26</v>
      </c>
      <c r="P36" s="476"/>
    </row>
    <row r="37" spans="1:16" customFormat="1">
      <c r="B37">
        <v>30</v>
      </c>
      <c r="C37" s="694" t="str">
        <f ca="1">_xll.PALO.DATA("jedoxtest/EU_PM_CUBE02","#_Staatengruppen_und_NUTS","Langbezeichnung",$B37)</f>
        <v>Oberösterreich</v>
      </c>
      <c r="D37" s="671">
        <f ca="1">_xll.PALO.DATAC("jedoxtest/EU_PM_CUBE02","EUPM_Mittel2_Cube",Datenstand,"Alle Beteiligungen","Alle Koordinatoren","Alle Unternehmensgrößen","-2",D$32,28,"Alle Expertevaluierungsstatus","-2","-2",$B37,"-2","Alle","-2","anzahl_beteiligungen")</f>
        <v>262</v>
      </c>
      <c r="E37" s="466">
        <f ca="1">_xll.PALO.DATAC("jedoxtest/EU_PM_CUBE02","EUPM_Mittel2_Cube",Datenstand,"Alle Beteiligungen","Alle Koordinatoren","Alle Unternehmensgrößen","-2",E$32,28,"Alle Expertevaluierungsstatus","-2","-2",$B37,"-2","Alle","-2","anzahl_beteiligungen")</f>
        <v>48</v>
      </c>
      <c r="F37" s="466">
        <f ca="1">_xll.PALO.DATAC("jedoxtest/EU_PM_CUBE02","EUPM_Mittel2_Cube",Datenstand,"Alle Beteiligungen","Alle Koordinatoren","Alle Unternehmensgrößen","-2",F$32,28,"Alle Expertevaluierungsstatus","-2","-2",$B37,"-2","Alle","-2","anzahl_beteiligungen")</f>
        <v>117</v>
      </c>
      <c r="G37" s="466">
        <f ca="1">_xll.PALO.DATAC("jedoxtest/EU_PM_CUBE02","EUPM_Mittel2_Cube",Datenstand,"Alle Beteiligungen","Alle Koordinatoren","Alle Unternehmensgrößen","-2",G$32,28,"Alle Expertevaluierungsstatus","-2","-2",$B37,"-2","Alle","-2","anzahl_beteiligungen")</f>
        <v>85</v>
      </c>
      <c r="H37" s="466">
        <f ca="1">_xll.PALO.DATAC("jedoxtest/EU_PM_CUBE02","EUPM_Mittel2_Cube",Datenstand,"Alle Beteiligungen","Alle Koordinatoren","Alle Unternehmensgrößen","-2",H$32,28,"Alle Expertevaluierungsstatus","-2","-2",$B37,"-2","Alle","-2","anzahl_beteiligungen")</f>
        <v>2</v>
      </c>
      <c r="I37" s="466">
        <f ca="1">_xll.PALO.DATAC("jedoxtest/EU_PM_CUBE02","EUPM_Mittel2_Cube",Datenstand,"Alle Beteiligungen","Alle Koordinatoren","Alle Unternehmensgrößen","-2",I$32,28,"Alle Expertevaluierungsstatus","-2","-2",$B37,"-2","Alle","-2","anzahl_beteiligungen")</f>
        <v>10</v>
      </c>
      <c r="P37" s="476"/>
    </row>
    <row r="38" spans="1:16" customFormat="1">
      <c r="B38">
        <v>36</v>
      </c>
      <c r="C38" s="694" t="str">
        <f ca="1">_xll.PALO.DATA("jedoxtest/EU_PM_CUBE02","#_Staatengruppen_und_NUTS","Langbezeichnung",$B38)</f>
        <v>Salzburg</v>
      </c>
      <c r="D38" s="671">
        <f ca="1">_xll.PALO.DATAC("jedoxtest/EU_PM_CUBE02","EUPM_Mittel2_Cube",Datenstand,"Alle Beteiligungen","Alle Koordinatoren","Alle Unternehmensgrößen","-2",D$32,28,"Alle Expertevaluierungsstatus","-2","-2",$B38,"-2","Alle","-2","anzahl_beteiligungen")</f>
        <v>73</v>
      </c>
      <c r="E38" s="466">
        <f ca="1">_xll.PALO.DATAC("jedoxtest/EU_PM_CUBE02","EUPM_Mittel2_Cube",Datenstand,"Alle Beteiligungen","Alle Koordinatoren","Alle Unternehmensgrößen","-2",E$32,28,"Alle Expertevaluierungsstatus","-2","-2",$B38,"-2","Alle","-2","anzahl_beteiligungen")</f>
        <v>44</v>
      </c>
      <c r="F38" s="466">
        <f ca="1">_xll.PALO.DATAC("jedoxtest/EU_PM_CUBE02","EUPM_Mittel2_Cube",Datenstand,"Alle Beteiligungen","Alle Koordinatoren","Alle Unternehmensgrößen","-2",F$32,28,"Alle Expertevaluierungsstatus","-2","-2",$B38,"-2","Alle","-2","anzahl_beteiligungen")</f>
        <v>15</v>
      </c>
      <c r="G38" s="466">
        <f ca="1">_xll.PALO.DATAC("jedoxtest/EU_PM_CUBE02","EUPM_Mittel2_Cube",Datenstand,"Alle Beteiligungen","Alle Koordinatoren","Alle Unternehmensgrößen","-2",G$32,28,"Alle Expertevaluierungsstatus","-2","-2",$B38,"-2","Alle","-2","anzahl_beteiligungen")</f>
        <v>7</v>
      </c>
      <c r="H38" s="466">
        <f ca="1">_xll.PALO.DATAC("jedoxtest/EU_PM_CUBE02","EUPM_Mittel2_Cube",Datenstand,"Alle Beteiligungen","Alle Koordinatoren","Alle Unternehmensgrößen","-2",H$32,28,"Alle Expertevaluierungsstatus","-2","-2",$B38,"-2","Alle","-2","anzahl_beteiligungen")</f>
        <v>3</v>
      </c>
      <c r="I38" s="466">
        <f ca="1">_xll.PALO.DATAC("jedoxtest/EU_PM_CUBE02","EUPM_Mittel2_Cube",Datenstand,"Alle Beteiligungen","Alle Koordinatoren","Alle Unternehmensgrößen","-2",I$32,28,"Alle Expertevaluierungsstatus","-2","-2",$B38,"-2","Alle","-2","anzahl_beteiligungen")</f>
        <v>4</v>
      </c>
      <c r="P38" s="476"/>
    </row>
    <row r="39" spans="1:16" customFormat="1">
      <c r="B39">
        <v>22</v>
      </c>
      <c r="C39" s="694" t="str">
        <f ca="1">_xll.PALO.DATA("jedoxtest/EU_PM_CUBE02","#_Staatengruppen_und_NUTS","Langbezeichnung",$B39)</f>
        <v>Steiermark</v>
      </c>
      <c r="D39" s="671">
        <f ca="1">_xll.PALO.DATAC("jedoxtest/EU_PM_CUBE02","EUPM_Mittel2_Cube",Datenstand,"Alle Beteiligungen","Alle Koordinatoren","Alle Unternehmensgrößen","-2",D$32,28,"Alle Expertevaluierungsstatus","-2","-2",$B39,"-2","Alle","-2","anzahl_beteiligungen")</f>
        <v>797</v>
      </c>
      <c r="E39" s="466">
        <f ca="1">_xll.PALO.DATAC("jedoxtest/EU_PM_CUBE02","EUPM_Mittel2_Cube",Datenstand,"Alle Beteiligungen","Alle Koordinatoren","Alle Unternehmensgrößen","-2",E$32,28,"Alle Expertevaluierungsstatus","-2","-2",$B39,"-2","Alle","-2","anzahl_beteiligungen")</f>
        <v>267</v>
      </c>
      <c r="F39" s="466">
        <f ca="1">_xll.PALO.DATAC("jedoxtest/EU_PM_CUBE02","EUPM_Mittel2_Cube",Datenstand,"Alle Beteiligungen","Alle Koordinatoren","Alle Unternehmensgrößen","-2",F$32,28,"Alle Expertevaluierungsstatus","-2","-2",$B39,"-2","Alle","-2","anzahl_beteiligungen")</f>
        <v>240</v>
      </c>
      <c r="G39" s="466">
        <f ca="1">_xll.PALO.DATAC("jedoxtest/EU_PM_CUBE02","EUPM_Mittel2_Cube",Datenstand,"Alle Beteiligungen","Alle Koordinatoren","Alle Unternehmensgrößen","-2",G$32,28,"Alle Expertevaluierungsstatus","-2","-2",$B39,"-2","Alle","-2","anzahl_beteiligungen")</f>
        <v>267</v>
      </c>
      <c r="H39" s="466">
        <f ca="1">_xll.PALO.DATAC("jedoxtest/EU_PM_CUBE02","EUPM_Mittel2_Cube",Datenstand,"Alle Beteiligungen","Alle Koordinatoren","Alle Unternehmensgrößen","-2",H$32,28,"Alle Expertevaluierungsstatus","-2","-2",$B39,"-2","Alle","-2","anzahl_beteiligungen")</f>
        <v>9</v>
      </c>
      <c r="I39" s="466">
        <f ca="1">_xll.PALO.DATAC("jedoxtest/EU_PM_CUBE02","EUPM_Mittel2_Cube",Datenstand,"Alle Beteiligungen","Alle Koordinatoren","Alle Unternehmensgrößen","-2",I$32,28,"Alle Expertevaluierungsstatus","-2","-2",$B39,"-2","Alle","-2","anzahl_beteiligungen")</f>
        <v>14</v>
      </c>
      <c r="P39" s="476"/>
    </row>
    <row r="40" spans="1:16" customFormat="1">
      <c r="B40">
        <v>40</v>
      </c>
      <c r="C40" s="694" t="str">
        <f ca="1">_xll.PALO.DATA("jedoxtest/EU_PM_CUBE02","#_Staatengruppen_und_NUTS","Langbezeichnung",$B40)</f>
        <v>Tirol</v>
      </c>
      <c r="D40" s="671">
        <f ca="1">_xll.PALO.DATAC("jedoxtest/EU_PM_CUBE02","EUPM_Mittel2_Cube",Datenstand,"Alle Beteiligungen","Alle Koordinatoren","Alle Unternehmensgrößen","-2",D$32,28,"Alle Expertevaluierungsstatus","-2","-2",$B40,"-2","Alle","-2","anzahl_beteiligungen")</f>
        <v>212</v>
      </c>
      <c r="E40" s="466">
        <f ca="1">_xll.PALO.DATAC("jedoxtest/EU_PM_CUBE02","EUPM_Mittel2_Cube",Datenstand,"Alle Beteiligungen","Alle Koordinatoren","Alle Unternehmensgrößen","-2",E$32,28,"Alle Expertevaluierungsstatus","-2","-2",$B40,"-2","Alle","-2","anzahl_beteiligungen")</f>
        <v>117</v>
      </c>
      <c r="F40" s="466">
        <f ca="1">_xll.PALO.DATAC("jedoxtest/EU_PM_CUBE02","EUPM_Mittel2_Cube",Datenstand,"Alle Beteiligungen","Alle Koordinatoren","Alle Unternehmensgrößen","-2",F$32,28,"Alle Expertevaluierungsstatus","-2","-2",$B40,"-2","Alle","-2","anzahl_beteiligungen")</f>
        <v>77</v>
      </c>
      <c r="G40" s="466">
        <f ca="1">_xll.PALO.DATAC("jedoxtest/EU_PM_CUBE02","EUPM_Mittel2_Cube",Datenstand,"Alle Beteiligungen","Alle Koordinatoren","Alle Unternehmensgrößen","-2",G$32,28,"Alle Expertevaluierungsstatus","-2","-2",$B40,"-2","Alle","-2","anzahl_beteiligungen")</f>
        <v>6</v>
      </c>
      <c r="H40" s="466">
        <f ca="1">_xll.PALO.DATAC("jedoxtest/EU_PM_CUBE02","EUPM_Mittel2_Cube",Datenstand,"Alle Beteiligungen","Alle Koordinatoren","Alle Unternehmensgrößen","-2",H$32,28,"Alle Expertevaluierungsstatus","-2","-2",$B40,"-2","Alle","-2","anzahl_beteiligungen")</f>
        <v>3</v>
      </c>
      <c r="I40" s="466">
        <f ca="1">_xll.PALO.DATAC("jedoxtest/EU_PM_CUBE02","EUPM_Mittel2_Cube",Datenstand,"Alle Beteiligungen","Alle Koordinatoren","Alle Unternehmensgrößen","-2",I$32,28,"Alle Expertevaluierungsstatus","-2","-2",$B40,"-2","Alle","-2","anzahl_beteiligungen")</f>
        <v>9</v>
      </c>
      <c r="P40" s="476"/>
    </row>
    <row r="41" spans="1:16" customFormat="1">
      <c r="B41">
        <v>46</v>
      </c>
      <c r="C41" s="694" t="str">
        <f ca="1">_xll.PALO.DATA("jedoxtest/EU_PM_CUBE02","#_Staatengruppen_und_NUTS","Langbezeichnung",$B41)</f>
        <v>Vorarlberg</v>
      </c>
      <c r="D41" s="671">
        <f ca="1">_xll.PALO.DATAC("jedoxtest/EU_PM_CUBE02","EUPM_Mittel2_Cube",Datenstand,"Alle Beteiligungen","Alle Koordinatoren","Alle Unternehmensgrößen","-2",D$32,28,"Alle Expertevaluierungsstatus","-2","-2",$B41,"-2","Alle","-2","anzahl_beteiligungen")</f>
        <v>13</v>
      </c>
      <c r="E41" s="466">
        <f ca="1">_xll.PALO.DATAC("jedoxtest/EU_PM_CUBE02","EUPM_Mittel2_Cube",Datenstand,"Alle Beteiligungen","Alle Koordinatoren","Alle Unternehmensgrößen","-2",E$32,28,"Alle Expertevaluierungsstatus","-2","-2",$B41,"-2","Alle","-2","anzahl_beteiligungen")</f>
        <v>2</v>
      </c>
      <c r="F41" s="466">
        <f ca="1">_xll.PALO.DATAC("jedoxtest/EU_PM_CUBE02","EUPM_Mittel2_Cube",Datenstand,"Alle Beteiligungen","Alle Koordinatoren","Alle Unternehmensgrößen","-2",F$32,28,"Alle Expertevaluierungsstatus","-2","-2",$B41,"-2","Alle","-2","anzahl_beteiligungen")</f>
        <v>10</v>
      </c>
      <c r="G41" s="466">
        <f ca="1">_xll.PALO.DATAC("jedoxtest/EU_PM_CUBE02","EUPM_Mittel2_Cube",Datenstand,"Alle Beteiligungen","Alle Koordinatoren","Alle Unternehmensgrößen","-2",G$32,28,"Alle Expertevaluierungsstatus","-2","-2",$B41,"-2","Alle","-2","anzahl_beteiligungen")</f>
        <v>0</v>
      </c>
      <c r="H41" s="466">
        <f ca="1">_xll.PALO.DATAC("jedoxtest/EU_PM_CUBE02","EUPM_Mittel2_Cube",Datenstand,"Alle Beteiligungen","Alle Koordinatoren","Alle Unternehmensgrößen","-2",H$32,28,"Alle Expertevaluierungsstatus","-2","-2",$B41,"-2","Alle","-2","anzahl_beteiligungen")</f>
        <v>1</v>
      </c>
      <c r="I41" s="466">
        <f ca="1">_xll.PALO.DATAC("jedoxtest/EU_PM_CUBE02","EUPM_Mittel2_Cube",Datenstand,"Alle Beteiligungen","Alle Koordinatoren","Alle Unternehmensgrößen","-2",I$32,28,"Alle Expertevaluierungsstatus","-2","-2",$B41,"-2","Alle","-2","anzahl_beteiligungen")</f>
        <v>0</v>
      </c>
      <c r="P41" s="476"/>
    </row>
    <row r="42" spans="1:16" customFormat="1">
      <c r="B42">
        <v>15</v>
      </c>
      <c r="C42" s="695" t="str">
        <f ca="1">_xll.PALO.DATA("jedoxtest/EU_PM_CUBE02","#_Staatengruppen_und_NUTS","Langbezeichnung",$B42)</f>
        <v>Wien</v>
      </c>
      <c r="D42" s="671">
        <f ca="1">_xll.PALO.DATAC("jedoxtest/EU_PM_CUBE02","EUPM_Mittel2_Cube",Datenstand,"Alle Beteiligungen","Alle Koordinatoren","Alle Unternehmensgrößen","-2",D$32,28,"Alle Expertevaluierungsstatus","-2","-2",$B42,"-2","Alle","-2","anzahl_beteiligungen")</f>
        <v>2061</v>
      </c>
      <c r="E42" s="467">
        <f ca="1">_xll.PALO.DATAC("jedoxtest/EU_PM_CUBE02","EUPM_Mittel2_Cube",Datenstand,"Alle Beteiligungen","Alle Koordinatoren","Alle Unternehmensgrößen","-2",E$32,28,"Alle Expertevaluierungsstatus","-2","-2",$B42,"-2","Alle","-2","anzahl_beteiligungen")</f>
        <v>754</v>
      </c>
      <c r="F42" s="467">
        <f ca="1">_xll.PALO.DATAC("jedoxtest/EU_PM_CUBE02","EUPM_Mittel2_Cube",Datenstand,"Alle Beteiligungen","Alle Koordinatoren","Alle Unternehmensgrößen","-2",F$32,28,"Alle Expertevaluierungsstatus","-2","-2",$B42,"-2","Alle","-2","anzahl_beteiligungen")</f>
        <v>481</v>
      </c>
      <c r="G42" s="467">
        <f ca="1">_xll.PALO.DATAC("jedoxtest/EU_PM_CUBE02","EUPM_Mittel2_Cube",Datenstand,"Alle Beteiligungen","Alle Koordinatoren","Alle Unternehmensgrößen","-2",G$32,28,"Alle Expertevaluierungsstatus","-2","-2",$B42,"-2","Alle","-2","anzahl_beteiligungen")</f>
        <v>554</v>
      </c>
      <c r="H42" s="467">
        <f ca="1">_xll.PALO.DATAC("jedoxtest/EU_PM_CUBE02","EUPM_Mittel2_Cube",Datenstand,"Alle Beteiligungen","Alle Koordinatoren","Alle Unternehmensgrößen","-2",H$32,28,"Alle Expertevaluierungsstatus","-2","-2",$B42,"-2","Alle","-2","anzahl_beteiligungen")</f>
        <v>87</v>
      </c>
      <c r="I42" s="467">
        <f ca="1">_xll.PALO.DATAC("jedoxtest/EU_PM_CUBE02","EUPM_Mittel2_Cube",Datenstand,"Alle Beteiligungen","Alle Koordinatoren","Alle Unternehmensgrößen","-2",I$32,28,"Alle Expertevaluierungsstatus","-2","-2",$B42,"-2","Alle","-2","anzahl_beteiligungen")</f>
        <v>185</v>
      </c>
      <c r="P42" s="476"/>
    </row>
    <row r="43" spans="1:16" customFormat="1">
      <c r="D43" s="672"/>
    </row>
    <row r="44" spans="1:16" customFormat="1">
      <c r="D44" s="672"/>
    </row>
    <row r="45" spans="1:16" customFormat="1" ht="18.75">
      <c r="C45" s="201" t="s">
        <v>284</v>
      </c>
      <c r="D45" s="672"/>
    </row>
    <row r="46" spans="1:16" customFormat="1">
      <c r="D46" s="672"/>
    </row>
    <row r="47" spans="1:16" customFormat="1" hidden="1">
      <c r="A47" s="311" t="b">
        <f ca="1">_xll.PALO.HIDEROW(ISBLANK($A$1))</f>
        <v>1</v>
      </c>
      <c r="D47" s="672" t="s">
        <v>22</v>
      </c>
      <c r="E47">
        <v>1</v>
      </c>
      <c r="F47">
        <v>2</v>
      </c>
      <c r="G47">
        <v>5</v>
      </c>
      <c r="H47">
        <v>4</v>
      </c>
      <c r="I47">
        <v>3</v>
      </c>
    </row>
    <row r="48" spans="1:16" s="517" customFormat="1">
      <c r="D48" s="673" t="s">
        <v>34</v>
      </c>
      <c r="E48" s="518" t="str">
        <f ca="1">_xll.PALO.DATA("jedoxtest/EU_PM_CUBE02","#_Organisationstyp","ffg_Bezeichnung",E$32)</f>
        <v>Hochschule</v>
      </c>
      <c r="F48" s="518" t="str">
        <f ca="1">_xll.PALO.DATA("jedoxtest/EU_PM_CUBE02","#_Organisationstyp","ffg_Bezeichnung",F$32)</f>
        <v>Unternehmen</v>
      </c>
      <c r="G48" s="518" t="str">
        <f ca="1">_xll.PALO.DATA("jedoxtest/EU_PM_CUBE02","#_Organisationstyp","ffg_Bezeichnung",G$32)</f>
        <v>Auniv.Forschung</v>
      </c>
      <c r="H48" s="518" t="str">
        <f ca="1">_xll.PALO.DATA("jedoxtest/EU_PM_CUBE02","#_Organisationstyp","ffg_Bezeichnung",H$32)</f>
        <v>Öff.Institution</v>
      </c>
      <c r="I48" s="518" t="str">
        <f ca="1">_xll.PALO.DATA("jedoxtest/EU_PM_CUBE02","#_Organisationstyp","ffg_Bezeichnung",I$32)</f>
        <v>Sonstige</v>
      </c>
    </row>
    <row r="49" spans="1:16" customFormat="1">
      <c r="B49">
        <v>3</v>
      </c>
      <c r="C49" s="693" t="str">
        <f ca="1">_xll.PALO.DATA("jedoxtest/EU_PM_CUBE02","#_Staatengruppen_und_NUTS","Langbezeichnung",$B49)</f>
        <v>Burgenland</v>
      </c>
      <c r="D49" s="674">
        <f ca="1">_xll.PALO.DATAC("jedoxtest/EU_PM_CUBE02","EUPM_Mittel2_Cube",Datenstand,"Alle Beteiligungen","Alle Koordinatoren","Alle Unternehmensgrößen","-2",D$32,28,"Alle Expertevaluierungsstatus","-2","-2",$B49,"-2","Alle","-2","foerderung")</f>
        <v>3218286.51</v>
      </c>
      <c r="E49" s="469">
        <f ca="1">_xll.PALO.DATAC("jedoxtest/EU_PM_CUBE02","EUPM_Mittel2_Cube",Datenstand,"Alle Beteiligungen","Alle Koordinatoren","Alle Unternehmensgrößen","-2",E$32,28,"Alle Expertevaluierungsstatus","-2","-2",$B49,"-2","Alle","-2","foerderung")</f>
        <v>748957.34</v>
      </c>
      <c r="F49" s="469">
        <f ca="1">_xll.PALO.DATAC("jedoxtest/EU_PM_CUBE02","EUPM_Mittel2_Cube",Datenstand,"Alle Beteiligungen","Alle Koordinatoren","Alle Unternehmensgrößen","-2",F$32,28,"Alle Expertevaluierungsstatus","-2","-2",$B49,"-2","Alle","-2","foerderung")</f>
        <v>1220526.0800000001</v>
      </c>
      <c r="G49" s="469">
        <f ca="1">_xll.PALO.DATAC("jedoxtest/EU_PM_CUBE02","EUPM_Mittel2_Cube",Datenstand,"Alle Beteiligungen","Alle Koordinatoren","Alle Unternehmensgrößen","-2",G$32,28,"Alle Expertevaluierungsstatus","-2","-2",$B49,"-2","Alle","-2","foerderung")</f>
        <v>444803.09</v>
      </c>
      <c r="H49" s="469">
        <f ca="1">_xll.PALO.DATAC("jedoxtest/EU_PM_CUBE02","EUPM_Mittel2_Cube",Datenstand,"Alle Beteiligungen","Alle Koordinatoren","Alle Unternehmensgrößen","-2",H$32,28,"Alle Expertevaluierungsstatus","-2","-2",$B49,"-2","Alle","-2","foerderung")</f>
        <v>804000</v>
      </c>
      <c r="I49" s="469">
        <f ca="1">_xll.PALO.DATAC("jedoxtest/EU_PM_CUBE02","EUPM_Mittel2_Cube",Datenstand,"Alle Beteiligungen","Alle Koordinatoren","Alle Unternehmensgrößen","-2",I$32,28,"Alle Expertevaluierungsstatus","-2","-2",$B49,"-2","Alle","-2","foerderung")</f>
        <v>0</v>
      </c>
      <c r="P49" s="476"/>
    </row>
    <row r="50" spans="1:16" customFormat="1">
      <c r="B50">
        <v>18</v>
      </c>
      <c r="C50" s="694" t="str">
        <f ca="1">_xll.PALO.DATA("jedoxtest/EU_PM_CUBE02","#_Staatengruppen_und_NUTS","Langbezeichnung",$B50)</f>
        <v>Kärnten</v>
      </c>
      <c r="D50" s="674">
        <f ca="1">_xll.PALO.DATAC("jedoxtest/EU_PM_CUBE02","EUPM_Mittel2_Cube",Datenstand,"Alle Beteiligungen","Alle Koordinatoren","Alle Unternehmensgrößen","-2",D$32,28,"Alle Expertevaluierungsstatus","-2","-2",$B50,"-2","Alle","-2","foerderung")</f>
        <v>46475940.759999998</v>
      </c>
      <c r="E50" s="470">
        <f ca="1">_xll.PALO.DATAC("jedoxtest/EU_PM_CUBE02","EUPM_Mittel2_Cube",Datenstand,"Alle Beteiligungen","Alle Koordinatoren","Alle Unternehmensgrößen","-2",E$32,28,"Alle Expertevaluierungsstatus","-2","-2",$B50,"-2","Alle","-2","foerderung")</f>
        <v>5675884.2300000004</v>
      </c>
      <c r="F50" s="470">
        <f ca="1">_xll.PALO.DATAC("jedoxtest/EU_PM_CUBE02","EUPM_Mittel2_Cube",Datenstand,"Alle Beteiligungen","Alle Koordinatoren","Alle Unternehmensgrößen","-2",F$32,28,"Alle Expertevaluierungsstatus","-2","-2",$B50,"-2","Alle","-2","foerderung")</f>
        <v>35327004.740000002</v>
      </c>
      <c r="G50" s="470">
        <f ca="1">_xll.PALO.DATAC("jedoxtest/EU_PM_CUBE02","EUPM_Mittel2_Cube",Datenstand,"Alle Beteiligungen","Alle Koordinatoren","Alle Unternehmensgrößen","-2",G$32,28,"Alle Expertevaluierungsstatus","-2","-2",$B50,"-2","Alle","-2","foerderung")</f>
        <v>4846398.13</v>
      </c>
      <c r="H50" s="470">
        <f ca="1">_xll.PALO.DATAC("jedoxtest/EU_PM_CUBE02","EUPM_Mittel2_Cube",Datenstand,"Alle Beteiligungen","Alle Koordinatoren","Alle Unternehmensgrößen","-2",H$32,28,"Alle Expertevaluierungsstatus","-2","-2",$B50,"-2","Alle","-2","foerderung")</f>
        <v>256250</v>
      </c>
      <c r="I50" s="470">
        <f ca="1">_xll.PALO.DATAC("jedoxtest/EU_PM_CUBE02","EUPM_Mittel2_Cube",Datenstand,"Alle Beteiligungen","Alle Koordinatoren","Alle Unternehmensgrößen","-2",I$32,28,"Alle Expertevaluierungsstatus","-2","-2",$B50,"-2","Alle","-2","foerderung")</f>
        <v>370403.66</v>
      </c>
      <c r="P50" s="476"/>
    </row>
    <row r="51" spans="1:16" customFormat="1">
      <c r="B51">
        <v>7</v>
      </c>
      <c r="C51" s="694" t="str">
        <f ca="1">_xll.PALO.DATA("jedoxtest/EU_PM_CUBE02","#_Staatengruppen_und_NUTS","Langbezeichnung",$B51)</f>
        <v>Niederösterreich</v>
      </c>
      <c r="D51" s="674">
        <f ca="1">_xll.PALO.DATAC("jedoxtest/EU_PM_CUBE02","EUPM_Mittel2_Cube",Datenstand,"Alle Beteiligungen","Alle Koordinatoren","Alle Unternehmensgrößen","-2",D$32,28,"Alle Expertevaluierungsstatus","-2","-2",$B51,"-2","Alle","-2","foerderung")</f>
        <v>189109415.31</v>
      </c>
      <c r="E51" s="470">
        <f ca="1">_xll.PALO.DATAC("jedoxtest/EU_PM_CUBE02","EUPM_Mittel2_Cube",Datenstand,"Alle Beteiligungen","Alle Koordinatoren","Alle Unternehmensgrößen","-2",E$32,28,"Alle Expertevaluierungsstatus","-2","-2",$B51,"-2","Alle","-2","foerderung")</f>
        <v>91531406.450000003</v>
      </c>
      <c r="F51" s="470">
        <f ca="1">_xll.PALO.DATAC("jedoxtest/EU_PM_CUBE02","EUPM_Mittel2_Cube",Datenstand,"Alle Beteiligungen","Alle Koordinatoren","Alle Unternehmensgrößen","-2",F$32,28,"Alle Expertevaluierungsstatus","-2","-2",$B51,"-2","Alle","-2","foerderung")</f>
        <v>33298306.91</v>
      </c>
      <c r="G51" s="470">
        <f ca="1">_xll.PALO.DATAC("jedoxtest/EU_PM_CUBE02","EUPM_Mittel2_Cube",Datenstand,"Alle Beteiligungen","Alle Koordinatoren","Alle Unternehmensgrößen","-2",G$32,28,"Alle Expertevaluierungsstatus","-2","-2",$B51,"-2","Alle","-2","foerderung")</f>
        <v>57640117.560000002</v>
      </c>
      <c r="H51" s="470">
        <f ca="1">_xll.PALO.DATAC("jedoxtest/EU_PM_CUBE02","EUPM_Mittel2_Cube",Datenstand,"Alle Beteiligungen","Alle Koordinatoren","Alle Unternehmensgrößen","-2",H$32,28,"Alle Expertevaluierungsstatus","-2","-2",$B51,"-2","Alle","-2","foerderung")</f>
        <v>1493877.5</v>
      </c>
      <c r="I51" s="470">
        <f ca="1">_xll.PALO.DATAC("jedoxtest/EU_PM_CUBE02","EUPM_Mittel2_Cube",Datenstand,"Alle Beteiligungen","Alle Koordinatoren","Alle Unternehmensgrößen","-2",I$32,28,"Alle Expertevaluierungsstatus","-2","-2",$B51,"-2","Alle","-2","foerderung")</f>
        <v>5145706.8899999997</v>
      </c>
      <c r="P51" s="476"/>
    </row>
    <row r="52" spans="1:16" customFormat="1">
      <c r="B52">
        <v>30</v>
      </c>
      <c r="C52" s="694" t="str">
        <f ca="1">_xll.PALO.DATA("jedoxtest/EU_PM_CUBE02","#_Staatengruppen_und_NUTS","Langbezeichnung",$B52)</f>
        <v>Oberösterreich</v>
      </c>
      <c r="D52" s="674">
        <f ca="1">_xll.PALO.DATAC("jedoxtest/EU_PM_CUBE02","EUPM_Mittel2_Cube",Datenstand,"Alle Beteiligungen","Alle Koordinatoren","Alle Unternehmensgrößen","-2",D$32,28,"Alle Expertevaluierungsstatus","-2","-2",$B52,"-2","Alle","-2","foerderung")</f>
        <v>105567125.48999999</v>
      </c>
      <c r="E52" s="470">
        <f ca="1">_xll.PALO.DATAC("jedoxtest/EU_PM_CUBE02","EUPM_Mittel2_Cube",Datenstand,"Alle Beteiligungen","Alle Koordinatoren","Alle Unternehmensgrößen","-2",E$32,28,"Alle Expertevaluierungsstatus","-2","-2",$B52,"-2","Alle","-2","foerderung")</f>
        <v>23137161.350000001</v>
      </c>
      <c r="F52" s="470">
        <f ca="1">_xll.PALO.DATAC("jedoxtest/EU_PM_CUBE02","EUPM_Mittel2_Cube",Datenstand,"Alle Beteiligungen","Alle Koordinatoren","Alle Unternehmensgrößen","-2",F$32,28,"Alle Expertevaluierungsstatus","-2","-2",$B52,"-2","Alle","-2","foerderung")</f>
        <v>36754384.469999999</v>
      </c>
      <c r="G52" s="470">
        <f ca="1">_xll.PALO.DATAC("jedoxtest/EU_PM_CUBE02","EUPM_Mittel2_Cube",Datenstand,"Alle Beteiligungen","Alle Koordinatoren","Alle Unternehmensgrößen","-2",G$32,28,"Alle Expertevaluierungsstatus","-2","-2",$B52,"-2","Alle","-2","foerderung")</f>
        <v>42212306.170000002</v>
      </c>
      <c r="H52" s="470">
        <f ca="1">_xll.PALO.DATAC("jedoxtest/EU_PM_CUBE02","EUPM_Mittel2_Cube",Datenstand,"Alle Beteiligungen","Alle Koordinatoren","Alle Unternehmensgrößen","-2",H$32,28,"Alle Expertevaluierungsstatus","-2","-2",$B52,"-2","Alle","-2","foerderung")</f>
        <v>0</v>
      </c>
      <c r="I52" s="470">
        <f ca="1">_xll.PALO.DATAC("jedoxtest/EU_PM_CUBE02","EUPM_Mittel2_Cube",Datenstand,"Alle Beteiligungen","Alle Koordinatoren","Alle Unternehmensgrößen","-2",I$32,28,"Alle Expertevaluierungsstatus","-2","-2",$B52,"-2","Alle","-2","foerderung")</f>
        <v>3463273.5</v>
      </c>
      <c r="P52" s="476"/>
    </row>
    <row r="53" spans="1:16" customFormat="1">
      <c r="B53">
        <v>36</v>
      </c>
      <c r="C53" s="694" t="str">
        <f ca="1">_xll.PALO.DATA("jedoxtest/EU_PM_CUBE02","#_Staatengruppen_und_NUTS","Langbezeichnung",$B53)</f>
        <v>Salzburg</v>
      </c>
      <c r="D53" s="674">
        <f ca="1">_xll.PALO.DATAC("jedoxtest/EU_PM_CUBE02","EUPM_Mittel2_Cube",Datenstand,"Alle Beteiligungen","Alle Koordinatoren","Alle Unternehmensgrößen","-2",D$32,28,"Alle Expertevaluierungsstatus","-2","-2",$B53,"-2","Alle","-2","foerderung")</f>
        <v>31207881.66</v>
      </c>
      <c r="E53" s="470">
        <f ca="1">_xll.PALO.DATAC("jedoxtest/EU_PM_CUBE02","EUPM_Mittel2_Cube",Datenstand,"Alle Beteiligungen","Alle Koordinatoren","Alle Unternehmensgrößen","-2",E$32,28,"Alle Expertevaluierungsstatus","-2","-2",$B53,"-2","Alle","-2","foerderung")</f>
        <v>24213985.969999999</v>
      </c>
      <c r="F53" s="470">
        <f ca="1">_xll.PALO.DATAC("jedoxtest/EU_PM_CUBE02","EUPM_Mittel2_Cube",Datenstand,"Alle Beteiligungen","Alle Koordinatoren","Alle Unternehmensgrößen","-2",F$32,28,"Alle Expertevaluierungsstatus","-2","-2",$B53,"-2","Alle","-2","foerderung")</f>
        <v>4623455.6100000003</v>
      </c>
      <c r="G53" s="470">
        <f ca="1">_xll.PALO.DATAC("jedoxtest/EU_PM_CUBE02","EUPM_Mittel2_Cube",Datenstand,"Alle Beteiligungen","Alle Koordinatoren","Alle Unternehmensgrößen","-2",G$32,28,"Alle Expertevaluierungsstatus","-2","-2",$B53,"-2","Alle","-2","foerderung")</f>
        <v>815757.58</v>
      </c>
      <c r="H53" s="470">
        <f ca="1">_xll.PALO.DATAC("jedoxtest/EU_PM_CUBE02","EUPM_Mittel2_Cube",Datenstand,"Alle Beteiligungen","Alle Koordinatoren","Alle Unternehmensgrößen","-2",H$32,28,"Alle Expertevaluierungsstatus","-2","-2",$B53,"-2","Alle","-2","foerderung")</f>
        <v>680212.5</v>
      </c>
      <c r="I53" s="470">
        <f ca="1">_xll.PALO.DATAC("jedoxtest/EU_PM_CUBE02","EUPM_Mittel2_Cube",Datenstand,"Alle Beteiligungen","Alle Koordinatoren","Alle Unternehmensgrößen","-2",I$32,28,"Alle Expertevaluierungsstatus","-2","-2",$B53,"-2","Alle","-2","foerderung")</f>
        <v>874470</v>
      </c>
      <c r="P53" s="476"/>
    </row>
    <row r="54" spans="1:16" customFormat="1">
      <c r="B54">
        <v>22</v>
      </c>
      <c r="C54" s="694" t="str">
        <f ca="1">_xll.PALO.DATA("jedoxtest/EU_PM_CUBE02","#_Staatengruppen_und_NUTS","Langbezeichnung",$B54)</f>
        <v>Steiermark</v>
      </c>
      <c r="D54" s="674">
        <f ca="1">_xll.PALO.DATAC("jedoxtest/EU_PM_CUBE02","EUPM_Mittel2_Cube",Datenstand,"Alle Beteiligungen","Alle Koordinatoren","Alle Unternehmensgrößen","-2",D$32,28,"Alle Expertevaluierungsstatus","-2","-2",$B54,"-2","Alle","-2","foerderung")</f>
        <v>386905170.31999999</v>
      </c>
      <c r="E54" s="470">
        <f ca="1">_xll.PALO.DATAC("jedoxtest/EU_PM_CUBE02","EUPM_Mittel2_Cube",Datenstand,"Alle Beteiligungen","Alle Koordinatoren","Alle Unternehmensgrößen","-2",E$32,28,"Alle Expertevaluierungsstatus","-2","-2",$B54,"-2","Alle","-2","foerderung")</f>
        <v>147384317.91999999</v>
      </c>
      <c r="F54" s="470">
        <f ca="1">_xll.PALO.DATAC("jedoxtest/EU_PM_CUBE02","EUPM_Mittel2_Cube",Datenstand,"Alle Beteiligungen","Alle Koordinatoren","Alle Unternehmensgrößen","-2",F$32,28,"Alle Expertevaluierungsstatus","-2","-2",$B54,"-2","Alle","-2","foerderung")</f>
        <v>87004837.269999996</v>
      </c>
      <c r="G54" s="470">
        <f ca="1">_xll.PALO.DATAC("jedoxtest/EU_PM_CUBE02","EUPM_Mittel2_Cube",Datenstand,"Alle Beteiligungen","Alle Koordinatoren","Alle Unternehmensgrößen","-2",G$32,28,"Alle Expertevaluierungsstatus","-2","-2",$B54,"-2","Alle","-2","foerderung")</f>
        <v>148204214.86000001</v>
      </c>
      <c r="H54" s="470">
        <f ca="1">_xll.PALO.DATAC("jedoxtest/EU_PM_CUBE02","EUPM_Mittel2_Cube",Datenstand,"Alle Beteiligungen","Alle Koordinatoren","Alle Unternehmensgrößen","-2",H$32,28,"Alle Expertevaluierungsstatus","-2","-2",$B54,"-2","Alle","-2","foerderung")</f>
        <v>2226237.5</v>
      </c>
      <c r="I54" s="470">
        <f ca="1">_xll.PALO.DATAC("jedoxtest/EU_PM_CUBE02","EUPM_Mittel2_Cube",Datenstand,"Alle Beteiligungen","Alle Koordinatoren","Alle Unternehmensgrößen","-2",I$32,28,"Alle Expertevaluierungsstatus","-2","-2",$B54,"-2","Alle","-2","foerderung")</f>
        <v>2085562.77</v>
      </c>
      <c r="P54" s="476"/>
    </row>
    <row r="55" spans="1:16" customFormat="1">
      <c r="B55">
        <v>40</v>
      </c>
      <c r="C55" s="694" t="str">
        <f ca="1">_xll.PALO.DATA("jedoxtest/EU_PM_CUBE02","#_Staatengruppen_und_NUTS","Langbezeichnung",$B55)</f>
        <v>Tirol</v>
      </c>
      <c r="D55" s="674">
        <f ca="1">_xll.PALO.DATAC("jedoxtest/EU_PM_CUBE02","EUPM_Mittel2_Cube",Datenstand,"Alle Beteiligungen","Alle Koordinatoren","Alle Unternehmensgrößen","-2",D$32,28,"Alle Expertevaluierungsstatus","-2","-2",$B55,"-2","Alle","-2","foerderung")</f>
        <v>89160279.980000004</v>
      </c>
      <c r="E55" s="470">
        <f ca="1">_xll.PALO.DATAC("jedoxtest/EU_PM_CUBE02","EUPM_Mittel2_Cube",Datenstand,"Alle Beteiligungen","Alle Koordinatoren","Alle Unternehmensgrößen","-2",E$32,28,"Alle Expertevaluierungsstatus","-2","-2",$B55,"-2","Alle","-2","foerderung")</f>
        <v>58391622.159999996</v>
      </c>
      <c r="F55" s="470">
        <f ca="1">_xll.PALO.DATAC("jedoxtest/EU_PM_CUBE02","EUPM_Mittel2_Cube",Datenstand,"Alle Beteiligungen","Alle Koordinatoren","Alle Unternehmensgrößen","-2",F$32,28,"Alle Expertevaluierungsstatus","-2","-2",$B55,"-2","Alle","-2","foerderung")</f>
        <v>25779851.57</v>
      </c>
      <c r="G55" s="470">
        <f ca="1">_xll.PALO.DATAC("jedoxtest/EU_PM_CUBE02","EUPM_Mittel2_Cube",Datenstand,"Alle Beteiligungen","Alle Koordinatoren","Alle Unternehmensgrößen","-2",G$32,28,"Alle Expertevaluierungsstatus","-2","-2",$B55,"-2","Alle","-2","foerderung")</f>
        <v>2206121.25</v>
      </c>
      <c r="H55" s="470">
        <f ca="1">_xll.PALO.DATAC("jedoxtest/EU_PM_CUBE02","EUPM_Mittel2_Cube",Datenstand,"Alle Beteiligungen","Alle Koordinatoren","Alle Unternehmensgrößen","-2",H$32,28,"Alle Expertevaluierungsstatus","-2","-2",$B55,"-2","Alle","-2","foerderung")</f>
        <v>516747.5</v>
      </c>
      <c r="I55" s="470">
        <f ca="1">_xll.PALO.DATAC("jedoxtest/EU_PM_CUBE02","EUPM_Mittel2_Cube",Datenstand,"Alle Beteiligungen","Alle Koordinatoren","Alle Unternehmensgrößen","-2",I$32,28,"Alle Expertevaluierungsstatus","-2","-2",$B55,"-2","Alle","-2","foerderung")</f>
        <v>2265937.5</v>
      </c>
      <c r="P55" s="476"/>
    </row>
    <row r="56" spans="1:16" customFormat="1">
      <c r="B56">
        <v>46</v>
      </c>
      <c r="C56" s="694" t="str">
        <f ca="1">_xll.PALO.DATA("jedoxtest/EU_PM_CUBE02","#_Staatengruppen_und_NUTS","Langbezeichnung",$B56)</f>
        <v>Vorarlberg</v>
      </c>
      <c r="D56" s="674">
        <f ca="1">_xll.PALO.DATAC("jedoxtest/EU_PM_CUBE02","EUPM_Mittel2_Cube",Datenstand,"Alle Beteiligungen","Alle Koordinatoren","Alle Unternehmensgrößen","-2",D$32,28,"Alle Expertevaluierungsstatus","-2","-2",$B56,"-2","Alle","-2","foerderung")</f>
        <v>2424344.13</v>
      </c>
      <c r="E56" s="470">
        <f ca="1">_xll.PALO.DATAC("jedoxtest/EU_PM_CUBE02","EUPM_Mittel2_Cube",Datenstand,"Alle Beteiligungen","Alle Koordinatoren","Alle Unternehmensgrößen","-2",E$32,28,"Alle Expertevaluierungsstatus","-2","-2",$B56,"-2","Alle","-2","foerderung")</f>
        <v>703151.19</v>
      </c>
      <c r="F56" s="470">
        <f ca="1">_xll.PALO.DATAC("jedoxtest/EU_PM_CUBE02","EUPM_Mittel2_Cube",Datenstand,"Alle Beteiligungen","Alle Koordinatoren","Alle Unternehmensgrößen","-2",F$32,28,"Alle Expertevaluierungsstatus","-2","-2",$B56,"-2","Alle","-2","foerderung")</f>
        <v>1721192.94</v>
      </c>
      <c r="G56" s="470">
        <f ca="1">_xll.PALO.DATAC("jedoxtest/EU_PM_CUBE02","EUPM_Mittel2_Cube",Datenstand,"Alle Beteiligungen","Alle Koordinatoren","Alle Unternehmensgrößen","-2",G$32,28,"Alle Expertevaluierungsstatus","-2","-2",$B56,"-2","Alle","-2","foerderung")</f>
        <v>0</v>
      </c>
      <c r="H56" s="470">
        <f ca="1">_xll.PALO.DATAC("jedoxtest/EU_PM_CUBE02","EUPM_Mittel2_Cube",Datenstand,"Alle Beteiligungen","Alle Koordinatoren","Alle Unternehmensgrößen","-2",H$32,28,"Alle Expertevaluierungsstatus","-2","-2",$B56,"-2","Alle","-2","foerderung")</f>
        <v>0</v>
      </c>
      <c r="I56" s="470">
        <f ca="1">_xll.PALO.DATAC("jedoxtest/EU_PM_CUBE02","EUPM_Mittel2_Cube",Datenstand,"Alle Beteiligungen","Alle Koordinatoren","Alle Unternehmensgrößen","-2",I$32,28,"Alle Expertevaluierungsstatus","-2","-2",$B56,"-2","Alle","-2","foerderung")</f>
        <v>0</v>
      </c>
      <c r="P56" s="476"/>
    </row>
    <row r="57" spans="1:16" customFormat="1">
      <c r="B57">
        <v>15</v>
      </c>
      <c r="C57" s="695" t="str">
        <f ca="1">_xll.PALO.DATA("jedoxtest/EU_PM_CUBE02","#_Staatengruppen_und_NUTS","Langbezeichnung",$B57)</f>
        <v>Wien</v>
      </c>
      <c r="D57" s="674">
        <f ca="1">_xll.PALO.DATAC("jedoxtest/EU_PM_CUBE02","EUPM_Mittel2_Cube",Datenstand,"Alle Beteiligungen","Alle Koordinatoren","Alle Unternehmensgrößen","-2",D$32,28,"Alle Expertevaluierungsstatus","-2","-2",$B57,"-2","Alle","-2","foerderung")</f>
        <v>1002133123.29</v>
      </c>
      <c r="E57" s="471">
        <f ca="1">_xll.PALO.DATAC("jedoxtest/EU_PM_CUBE02","EUPM_Mittel2_Cube",Datenstand,"Alle Beteiligungen","Alle Koordinatoren","Alle Unternehmensgrößen","-2",E$32,28,"Alle Expertevaluierungsstatus","-2","-2",$B57,"-2","Alle","-2","foerderung")</f>
        <v>423363543.42000002</v>
      </c>
      <c r="F57" s="471">
        <f ca="1">_xll.PALO.DATAC("jedoxtest/EU_PM_CUBE02","EUPM_Mittel2_Cube",Datenstand,"Alle Beteiligungen","Alle Koordinatoren","Alle Unternehmensgrößen","-2",F$32,28,"Alle Expertevaluierungsstatus","-2","-2",$B57,"-2","Alle","-2","foerderung")</f>
        <v>173445562.18000001</v>
      </c>
      <c r="G57" s="471">
        <f ca="1">_xll.PALO.DATAC("jedoxtest/EU_PM_CUBE02","EUPM_Mittel2_Cube",Datenstand,"Alle Beteiligungen","Alle Koordinatoren","Alle Unternehmensgrößen","-2",G$32,28,"Alle Expertevaluierungsstatus","-2","-2",$B57,"-2","Alle","-2","foerderung")</f>
        <v>270397538.83999997</v>
      </c>
      <c r="H57" s="471">
        <f ca="1">_xll.PALO.DATAC("jedoxtest/EU_PM_CUBE02","EUPM_Mittel2_Cube",Datenstand,"Alle Beteiligungen","Alle Koordinatoren","Alle Unternehmensgrößen","-2",H$32,28,"Alle Expertevaluierungsstatus","-2","-2",$B57,"-2","Alle","-2","foerderung")</f>
        <v>40770424.289999999</v>
      </c>
      <c r="I57" s="471">
        <f ca="1">_xll.PALO.DATAC("jedoxtest/EU_PM_CUBE02","EUPM_Mittel2_Cube",Datenstand,"Alle Beteiligungen","Alle Koordinatoren","Alle Unternehmensgrößen","-2",I$32,28,"Alle Expertevaluierungsstatus","-2","-2",$B57,"-2","Alle","-2","foerderung")</f>
        <v>94156054.560000002</v>
      </c>
      <c r="P57" s="476"/>
    </row>
    <row r="58" spans="1:16" customFormat="1">
      <c r="C58" s="526"/>
      <c r="D58" s="672"/>
    </row>
    <row r="59" spans="1:16" customFormat="1">
      <c r="C59" s="526"/>
      <c r="D59" s="672"/>
    </row>
    <row r="60" spans="1:16" customFormat="1" ht="18.75">
      <c r="C60" s="201" t="s">
        <v>283</v>
      </c>
      <c r="D60" s="672"/>
    </row>
    <row r="61" spans="1:16" customFormat="1">
      <c r="C61" s="526"/>
      <c r="D61" s="672"/>
    </row>
    <row r="62" spans="1:16" customFormat="1" hidden="1">
      <c r="A62" s="311" t="b">
        <f ca="1">_xll.PALO.HIDEROW(ISBLANK($A$1))</f>
        <v>1</v>
      </c>
      <c r="C62" s="526"/>
      <c r="D62" s="672" t="s">
        <v>22</v>
      </c>
      <c r="E62">
        <v>1</v>
      </c>
      <c r="F62">
        <v>2</v>
      </c>
      <c r="G62">
        <v>5</v>
      </c>
      <c r="H62">
        <v>4</v>
      </c>
      <c r="I62">
        <v>3</v>
      </c>
    </row>
    <row r="63" spans="1:16" s="517" customFormat="1">
      <c r="C63" s="526"/>
      <c r="D63" s="673" t="s">
        <v>34</v>
      </c>
      <c r="E63" s="518" t="str">
        <f ca="1">_xll.PALO.DATA("jedoxtest/EU_PM_CUBE02","#_Organisationstyp","ffg_Bezeichnung",E$32)</f>
        <v>Hochschule</v>
      </c>
      <c r="F63" s="518" t="str">
        <f ca="1">_xll.PALO.DATA("jedoxtest/EU_PM_CUBE02","#_Organisationstyp","ffg_Bezeichnung",F$32)</f>
        <v>Unternehmen</v>
      </c>
      <c r="G63" s="518" t="str">
        <f ca="1">_xll.PALO.DATA("jedoxtest/EU_PM_CUBE02","#_Organisationstyp","ffg_Bezeichnung",G$32)</f>
        <v>Auniv.Forschung</v>
      </c>
      <c r="H63" s="518" t="str">
        <f ca="1">_xll.PALO.DATA("jedoxtest/EU_PM_CUBE02","#_Organisationstyp","ffg_Bezeichnung",H$32)</f>
        <v>Öff.Institution</v>
      </c>
      <c r="I63" s="518" t="str">
        <f ca="1">_xll.PALO.DATA("jedoxtest/EU_PM_CUBE02","#_Organisationstyp","ffg_Bezeichnung",I$32)</f>
        <v>Sonstige</v>
      </c>
    </row>
    <row r="64" spans="1:16" customFormat="1" ht="15" customHeight="1">
      <c r="B64">
        <v>3</v>
      </c>
      <c r="C64" s="693" t="str">
        <f ca="1">_xll.PALO.DATA("jedoxtest/EU_PM_CUBE02","#_Staatengruppen_und_NUTS","Langbezeichnung",$B64)</f>
        <v>Burgenland</v>
      </c>
      <c r="D64" s="671">
        <f ca="1">_xll.PALO.DATAC("jedoxtest/EU_PM_CUBE02","EUPM_Mittel2_Cube",Datenstand,"Alle Beteiligungen","Alle Koordinatoren","Alle Unternehmensgrößen","-2",D$32,28,"Alle Expertevaluierungsstatus","-2","-2",$B64,"-2","Alle","-2","anzahl_koordinatoren")</f>
        <v>2</v>
      </c>
      <c r="E64" s="115">
        <f ca="1">_xll.PALO.DATAC("jedoxtest/EU_PM_CUBE02","EUPM_Mittel2_Cube",Datenstand,"Alle Beteiligungen","Alle Koordinatoren","Alle Unternehmensgrößen","-2",E$32,28,"Alle Expertevaluierungsstatus","-2","-2",$B64,"-2","Alle","-2","anzahl_koordinatoren")</f>
        <v>1</v>
      </c>
      <c r="F64" s="115">
        <f ca="1">_xll.PALO.DATAC("jedoxtest/EU_PM_CUBE02","EUPM_Mittel2_Cube",Datenstand,"Alle Beteiligungen","Alle Koordinatoren","Alle Unternehmensgrößen","-2",F$32,28,"Alle Expertevaluierungsstatus","-2","-2",$B64,"-2","Alle","-2","anzahl_koordinatoren")</f>
        <v>1</v>
      </c>
      <c r="G64" s="115">
        <f ca="1">_xll.PALO.DATAC("jedoxtest/EU_PM_CUBE02","EUPM_Mittel2_Cube",Datenstand,"Alle Beteiligungen","Alle Koordinatoren","Alle Unternehmensgrößen","-2",G$32,28,"Alle Expertevaluierungsstatus","-2","-2",$B64,"-2","Alle","-2","anzahl_koordinatoren")</f>
        <v>0</v>
      </c>
      <c r="H64" s="115">
        <f ca="1">_xll.PALO.DATAC("jedoxtest/EU_PM_CUBE02","EUPM_Mittel2_Cube",Datenstand,"Alle Beteiligungen","Alle Koordinatoren","Alle Unternehmensgrößen","-2",H$32,28,"Alle Expertevaluierungsstatus","-2","-2",$B64,"-2","Alle","-2","anzahl_koordinatoren")</f>
        <v>0</v>
      </c>
      <c r="I64" s="115">
        <f ca="1">_xll.PALO.DATAC("jedoxtest/EU_PM_CUBE02","EUPM_Mittel2_Cube",Datenstand,"Alle Beteiligungen","Alle Koordinatoren","Alle Unternehmensgrößen","-2",I$32,28,"Alle Expertevaluierungsstatus","-2","-2",$B64,"-2","Alle","-2","anzahl_koordinatoren")</f>
        <v>0</v>
      </c>
    </row>
    <row r="65" spans="2:9" customFormat="1" ht="15" customHeight="1">
      <c r="B65">
        <v>18</v>
      </c>
      <c r="C65" s="694" t="str">
        <f ca="1">_xll.PALO.DATA("jedoxtest/EU_PM_CUBE02","#_Staatengruppen_und_NUTS","Langbezeichnung",$B65)</f>
        <v>Kärnten</v>
      </c>
      <c r="D65" s="671">
        <f ca="1">_xll.PALO.DATAC("jedoxtest/EU_PM_CUBE02","EUPM_Mittel2_Cube",Datenstand,"Alle Beteiligungen","Alle Koordinatoren","Alle Unternehmensgrößen","-2",D$32,28,"Alle Expertevaluierungsstatus","-2","-2",$B65,"-2","Alle","-2","anzahl_koordinatoren")</f>
        <v>11</v>
      </c>
      <c r="E65" s="466">
        <f ca="1">_xll.PALO.DATAC("jedoxtest/EU_PM_CUBE02","EUPM_Mittel2_Cube",Datenstand,"Alle Beteiligungen","Alle Koordinatoren","Alle Unternehmensgrößen","-2",E$32,28,"Alle Expertevaluierungsstatus","-2","-2",$B65,"-2","Alle","-2","anzahl_koordinatoren")</f>
        <v>3</v>
      </c>
      <c r="F65" s="466">
        <f ca="1">_xll.PALO.DATAC("jedoxtest/EU_PM_CUBE02","EUPM_Mittel2_Cube",Datenstand,"Alle Beteiligungen","Alle Koordinatoren","Alle Unternehmensgrößen","-2",F$32,28,"Alle Expertevaluierungsstatus","-2","-2",$B65,"-2","Alle","-2","anzahl_koordinatoren")</f>
        <v>2</v>
      </c>
      <c r="G65" s="466">
        <f ca="1">_xll.PALO.DATAC("jedoxtest/EU_PM_CUBE02","EUPM_Mittel2_Cube",Datenstand,"Alle Beteiligungen","Alle Koordinatoren","Alle Unternehmensgrößen","-2",G$32,28,"Alle Expertevaluierungsstatus","-2","-2",$B65,"-2","Alle","-2","anzahl_koordinatoren")</f>
        <v>6</v>
      </c>
      <c r="H65" s="466">
        <f ca="1">_xll.PALO.DATAC("jedoxtest/EU_PM_CUBE02","EUPM_Mittel2_Cube",Datenstand,"Alle Beteiligungen","Alle Koordinatoren","Alle Unternehmensgrößen","-2",H$32,28,"Alle Expertevaluierungsstatus","-2","-2",$B65,"-2","Alle","-2","anzahl_koordinatoren")</f>
        <v>0</v>
      </c>
      <c r="I65" s="466">
        <f ca="1">_xll.PALO.DATAC("jedoxtest/EU_PM_CUBE02","EUPM_Mittel2_Cube",Datenstand,"Alle Beteiligungen","Alle Koordinatoren","Alle Unternehmensgrößen","-2",I$32,28,"Alle Expertevaluierungsstatus","-2","-2",$B65,"-2","Alle","-2","anzahl_koordinatoren")</f>
        <v>0</v>
      </c>
    </row>
    <row r="66" spans="2:9" customFormat="1" ht="17.100000000000001" customHeight="1">
      <c r="B66">
        <v>7</v>
      </c>
      <c r="C66" s="694" t="str">
        <f ca="1">_xll.PALO.DATA("jedoxtest/EU_PM_CUBE02","#_Staatengruppen_und_NUTS","Langbezeichnung",$B66)</f>
        <v>Niederösterreich</v>
      </c>
      <c r="D66" s="671">
        <f ca="1">_xll.PALO.DATAC("jedoxtest/EU_PM_CUBE02","EUPM_Mittel2_Cube",Datenstand,"Alle Beteiligungen","Alle Koordinatoren","Alle Unternehmensgrößen","-2",D$32,28,"Alle Expertevaluierungsstatus","-2","-2",$B66,"-2","Alle","-2","anzahl_koordinatoren")</f>
        <v>93</v>
      </c>
      <c r="E66" s="466">
        <f ca="1">_xll.PALO.DATAC("jedoxtest/EU_PM_CUBE02","EUPM_Mittel2_Cube",Datenstand,"Alle Beteiligungen","Alle Koordinatoren","Alle Unternehmensgrößen","-2",E$32,28,"Alle Expertevaluierungsstatus","-2","-2",$B66,"-2","Alle","-2","anzahl_koordinatoren")</f>
        <v>65</v>
      </c>
      <c r="F66" s="466">
        <f ca="1">_xll.PALO.DATAC("jedoxtest/EU_PM_CUBE02","EUPM_Mittel2_Cube",Datenstand,"Alle Beteiligungen","Alle Koordinatoren","Alle Unternehmensgrößen","-2",F$32,28,"Alle Expertevaluierungsstatus","-2","-2",$B66,"-2","Alle","-2","anzahl_koordinatoren")</f>
        <v>11</v>
      </c>
      <c r="G66" s="466">
        <f ca="1">_xll.PALO.DATAC("jedoxtest/EU_PM_CUBE02","EUPM_Mittel2_Cube",Datenstand,"Alle Beteiligungen","Alle Koordinatoren","Alle Unternehmensgrößen","-2",G$32,28,"Alle Expertevaluierungsstatus","-2","-2",$B66,"-2","Alle","-2","anzahl_koordinatoren")</f>
        <v>17</v>
      </c>
      <c r="H66" s="466">
        <f ca="1">_xll.PALO.DATAC("jedoxtest/EU_PM_CUBE02","EUPM_Mittel2_Cube",Datenstand,"Alle Beteiligungen","Alle Koordinatoren","Alle Unternehmensgrößen","-2",H$32,28,"Alle Expertevaluierungsstatus","-2","-2",$B66,"-2","Alle","-2","anzahl_koordinatoren")</f>
        <v>0</v>
      </c>
      <c r="I66" s="466">
        <f ca="1">_xll.PALO.DATAC("jedoxtest/EU_PM_CUBE02","EUPM_Mittel2_Cube",Datenstand,"Alle Beteiligungen","Alle Koordinatoren","Alle Unternehmensgrößen","-2",I$32,28,"Alle Expertevaluierungsstatus","-2","-2",$B66,"-2","Alle","-2","anzahl_koordinatoren")</f>
        <v>0</v>
      </c>
    </row>
    <row r="67" spans="2:9" customFormat="1" ht="17.100000000000001" customHeight="1">
      <c r="B67">
        <v>30</v>
      </c>
      <c r="C67" s="694" t="str">
        <f ca="1">_xll.PALO.DATA("jedoxtest/EU_PM_CUBE02","#_Staatengruppen_und_NUTS","Langbezeichnung",$B67)</f>
        <v>Oberösterreich</v>
      </c>
      <c r="D67" s="671">
        <f ca="1">_xll.PALO.DATAC("jedoxtest/EU_PM_CUBE02","EUPM_Mittel2_Cube",Datenstand,"Alle Beteiligungen","Alle Koordinatoren","Alle Unternehmensgrößen","-2",D$32,28,"Alle Expertevaluierungsstatus","-2","-2",$B67,"-2","Alle","-2","anzahl_koordinatoren")</f>
        <v>27</v>
      </c>
      <c r="E67" s="466">
        <f ca="1">_xll.PALO.DATAC("jedoxtest/EU_PM_CUBE02","EUPM_Mittel2_Cube",Datenstand,"Alle Beteiligungen","Alle Koordinatoren","Alle Unternehmensgrößen","-2",E$32,28,"Alle Expertevaluierungsstatus","-2","-2",$B67,"-2","Alle","-2","anzahl_koordinatoren")</f>
        <v>11</v>
      </c>
      <c r="F67" s="466">
        <f ca="1">_xll.PALO.DATAC("jedoxtest/EU_PM_CUBE02","EUPM_Mittel2_Cube",Datenstand,"Alle Beteiligungen","Alle Koordinatoren","Alle Unternehmensgrößen","-2",F$32,28,"Alle Expertevaluierungsstatus","-2","-2",$B67,"-2","Alle","-2","anzahl_koordinatoren")</f>
        <v>3</v>
      </c>
      <c r="G67" s="466">
        <f ca="1">_xll.PALO.DATAC("jedoxtest/EU_PM_CUBE02","EUPM_Mittel2_Cube",Datenstand,"Alle Beteiligungen","Alle Koordinatoren","Alle Unternehmensgrößen","-2",G$32,28,"Alle Expertevaluierungsstatus","-2","-2",$B67,"-2","Alle","-2","anzahl_koordinatoren")</f>
        <v>11</v>
      </c>
      <c r="H67" s="466">
        <f ca="1">_xll.PALO.DATAC("jedoxtest/EU_PM_CUBE02","EUPM_Mittel2_Cube",Datenstand,"Alle Beteiligungen","Alle Koordinatoren","Alle Unternehmensgrößen","-2",H$32,28,"Alle Expertevaluierungsstatus","-2","-2",$B67,"-2","Alle","-2","anzahl_koordinatoren")</f>
        <v>1</v>
      </c>
      <c r="I67" s="466">
        <f ca="1">_xll.PALO.DATAC("jedoxtest/EU_PM_CUBE02","EUPM_Mittel2_Cube",Datenstand,"Alle Beteiligungen","Alle Koordinatoren","Alle Unternehmensgrößen","-2",I$32,28,"Alle Expertevaluierungsstatus","-2","-2",$B67,"-2","Alle","-2","anzahl_koordinatoren")</f>
        <v>1</v>
      </c>
    </row>
    <row r="68" spans="2:9" customFormat="1" ht="17.100000000000001" customHeight="1">
      <c r="B68">
        <v>36</v>
      </c>
      <c r="C68" s="694" t="str">
        <f ca="1">_xll.PALO.DATA("jedoxtest/EU_PM_CUBE02","#_Staatengruppen_und_NUTS","Langbezeichnung",$B68)</f>
        <v>Salzburg</v>
      </c>
      <c r="D68" s="671">
        <f ca="1">_xll.PALO.DATAC("jedoxtest/EU_PM_CUBE02","EUPM_Mittel2_Cube",Datenstand,"Alle Beteiligungen","Alle Koordinatoren","Alle Unternehmensgrößen","-2",D$32,28,"Alle Expertevaluierungsstatus","-2","-2",$B68,"-2","Alle","-2","anzahl_koordinatoren")</f>
        <v>9</v>
      </c>
      <c r="E68" s="466">
        <f ca="1">_xll.PALO.DATAC("jedoxtest/EU_PM_CUBE02","EUPM_Mittel2_Cube",Datenstand,"Alle Beteiligungen","Alle Koordinatoren","Alle Unternehmensgrößen","-2",E$32,28,"Alle Expertevaluierungsstatus","-2","-2",$B68,"-2","Alle","-2","anzahl_koordinatoren")</f>
        <v>8</v>
      </c>
      <c r="F68" s="466">
        <f ca="1">_xll.PALO.DATAC("jedoxtest/EU_PM_CUBE02","EUPM_Mittel2_Cube",Datenstand,"Alle Beteiligungen","Alle Koordinatoren","Alle Unternehmensgrößen","-2",F$32,28,"Alle Expertevaluierungsstatus","-2","-2",$B68,"-2","Alle","-2","anzahl_koordinatoren")</f>
        <v>0</v>
      </c>
      <c r="G68" s="466">
        <f ca="1">_xll.PALO.DATAC("jedoxtest/EU_PM_CUBE02","EUPM_Mittel2_Cube",Datenstand,"Alle Beteiligungen","Alle Koordinatoren","Alle Unternehmensgrößen","-2",G$32,28,"Alle Expertevaluierungsstatus","-2","-2",$B68,"-2","Alle","-2","anzahl_koordinatoren")</f>
        <v>1</v>
      </c>
      <c r="H68" s="466">
        <f ca="1">_xll.PALO.DATAC("jedoxtest/EU_PM_CUBE02","EUPM_Mittel2_Cube",Datenstand,"Alle Beteiligungen","Alle Koordinatoren","Alle Unternehmensgrößen","-2",H$32,28,"Alle Expertevaluierungsstatus","-2","-2",$B68,"-2","Alle","-2","anzahl_koordinatoren")</f>
        <v>0</v>
      </c>
      <c r="I68" s="466">
        <f ca="1">_xll.PALO.DATAC("jedoxtest/EU_PM_CUBE02","EUPM_Mittel2_Cube",Datenstand,"Alle Beteiligungen","Alle Koordinatoren","Alle Unternehmensgrößen","-2",I$32,28,"Alle Expertevaluierungsstatus","-2","-2",$B68,"-2","Alle","-2","anzahl_koordinatoren")</f>
        <v>0</v>
      </c>
    </row>
    <row r="69" spans="2:9" customFormat="1" ht="17.100000000000001" customHeight="1">
      <c r="B69">
        <v>22</v>
      </c>
      <c r="C69" s="694" t="str">
        <f ca="1">_xll.PALO.DATA("jedoxtest/EU_PM_CUBE02","#_Staatengruppen_und_NUTS","Langbezeichnung",$B69)</f>
        <v>Steiermark</v>
      </c>
      <c r="D69" s="671">
        <f ca="1">_xll.PALO.DATAC("jedoxtest/EU_PM_CUBE02","EUPM_Mittel2_Cube",Datenstand,"Alle Beteiligungen","Alle Koordinatoren","Alle Unternehmensgrößen","-2",D$32,28,"Alle Expertevaluierungsstatus","-2","-2",$B69,"-2","Alle","-2","anzahl_koordinatoren")</f>
        <v>141</v>
      </c>
      <c r="E69" s="466">
        <f ca="1">_xll.PALO.DATAC("jedoxtest/EU_PM_CUBE02","EUPM_Mittel2_Cube",Datenstand,"Alle Beteiligungen","Alle Koordinatoren","Alle Unternehmensgrößen","-2",E$32,28,"Alle Expertevaluierungsstatus","-2","-2",$B69,"-2","Alle","-2","anzahl_koordinatoren")</f>
        <v>67</v>
      </c>
      <c r="F69" s="466">
        <f ca="1">_xll.PALO.DATAC("jedoxtest/EU_PM_CUBE02","EUPM_Mittel2_Cube",Datenstand,"Alle Beteiligungen","Alle Koordinatoren","Alle Unternehmensgrößen","-2",F$32,28,"Alle Expertevaluierungsstatus","-2","-2",$B69,"-2","Alle","-2","anzahl_koordinatoren")</f>
        <v>25</v>
      </c>
      <c r="G69" s="466">
        <f ca="1">_xll.PALO.DATAC("jedoxtest/EU_PM_CUBE02","EUPM_Mittel2_Cube",Datenstand,"Alle Beteiligungen","Alle Koordinatoren","Alle Unternehmensgrößen","-2",G$32,28,"Alle Expertevaluierungsstatus","-2","-2",$B69,"-2","Alle","-2","anzahl_koordinatoren")</f>
        <v>49</v>
      </c>
      <c r="H69" s="466">
        <f ca="1">_xll.PALO.DATAC("jedoxtest/EU_PM_CUBE02","EUPM_Mittel2_Cube",Datenstand,"Alle Beteiligungen","Alle Koordinatoren","Alle Unternehmensgrößen","-2",H$32,28,"Alle Expertevaluierungsstatus","-2","-2",$B69,"-2","Alle","-2","anzahl_koordinatoren")</f>
        <v>0</v>
      </c>
      <c r="I69" s="466">
        <f ca="1">_xll.PALO.DATAC("jedoxtest/EU_PM_CUBE02","EUPM_Mittel2_Cube",Datenstand,"Alle Beteiligungen","Alle Koordinatoren","Alle Unternehmensgrößen","-2",I$32,28,"Alle Expertevaluierungsstatus","-2","-2",$B69,"-2","Alle","-2","anzahl_koordinatoren")</f>
        <v>0</v>
      </c>
    </row>
    <row r="70" spans="2:9" customFormat="1" ht="17.100000000000001" customHeight="1">
      <c r="B70">
        <v>40</v>
      </c>
      <c r="C70" s="694" t="str">
        <f ca="1">_xll.PALO.DATA("jedoxtest/EU_PM_CUBE02","#_Staatengruppen_und_NUTS","Langbezeichnung",$B70)</f>
        <v>Tirol</v>
      </c>
      <c r="D70" s="671">
        <f ca="1">_xll.PALO.DATAC("jedoxtest/EU_PM_CUBE02","EUPM_Mittel2_Cube",Datenstand,"Alle Beteiligungen","Alle Koordinatoren","Alle Unternehmensgrößen","-2",D$32,28,"Alle Expertevaluierungsstatus","-2","-2",$B70,"-2","Alle","-2","anzahl_koordinatoren")</f>
        <v>34</v>
      </c>
      <c r="E70" s="466">
        <f ca="1">_xll.PALO.DATAC("jedoxtest/EU_PM_CUBE02","EUPM_Mittel2_Cube",Datenstand,"Alle Beteiligungen","Alle Koordinatoren","Alle Unternehmensgrößen","-2",E$32,28,"Alle Expertevaluierungsstatus","-2","-2",$B70,"-2","Alle","-2","anzahl_koordinatoren")</f>
        <v>32</v>
      </c>
      <c r="F70" s="466">
        <f ca="1">_xll.PALO.DATAC("jedoxtest/EU_PM_CUBE02","EUPM_Mittel2_Cube",Datenstand,"Alle Beteiligungen","Alle Koordinatoren","Alle Unternehmensgrößen","-2",F$32,28,"Alle Expertevaluierungsstatus","-2","-2",$B70,"-2","Alle","-2","anzahl_koordinatoren")</f>
        <v>2</v>
      </c>
      <c r="G70" s="466">
        <f ca="1">_xll.PALO.DATAC("jedoxtest/EU_PM_CUBE02","EUPM_Mittel2_Cube",Datenstand,"Alle Beteiligungen","Alle Koordinatoren","Alle Unternehmensgrößen","-2",G$32,28,"Alle Expertevaluierungsstatus","-2","-2",$B70,"-2","Alle","-2","anzahl_koordinatoren")</f>
        <v>0</v>
      </c>
      <c r="H70" s="466">
        <f ca="1">_xll.PALO.DATAC("jedoxtest/EU_PM_CUBE02","EUPM_Mittel2_Cube",Datenstand,"Alle Beteiligungen","Alle Koordinatoren","Alle Unternehmensgrößen","-2",H$32,28,"Alle Expertevaluierungsstatus","-2","-2",$B70,"-2","Alle","-2","anzahl_koordinatoren")</f>
        <v>0</v>
      </c>
      <c r="I70" s="466">
        <f ca="1">_xll.PALO.DATAC("jedoxtest/EU_PM_CUBE02","EUPM_Mittel2_Cube",Datenstand,"Alle Beteiligungen","Alle Koordinatoren","Alle Unternehmensgrößen","-2",I$32,28,"Alle Expertevaluierungsstatus","-2","-2",$B70,"-2","Alle","-2","anzahl_koordinatoren")</f>
        <v>0</v>
      </c>
    </row>
    <row r="71" spans="2:9" customFormat="1">
      <c r="B71">
        <v>46</v>
      </c>
      <c r="C71" s="694" t="str">
        <f ca="1">_xll.PALO.DATA("jedoxtest/EU_PM_CUBE02","#_Staatengruppen_und_NUTS","Langbezeichnung",$B71)</f>
        <v>Vorarlberg</v>
      </c>
      <c r="D71" s="671">
        <f ca="1">_xll.PALO.DATAC("jedoxtest/EU_PM_CUBE02","EUPM_Mittel2_Cube",Datenstand,"Alle Beteiligungen","Alle Koordinatoren","Alle Unternehmensgrößen","-2",D$32,28,"Alle Expertevaluierungsstatus","-2","-2",$B71,"-2","Alle","-2","anzahl_koordinatoren")</f>
        <v>1</v>
      </c>
      <c r="E71" s="466">
        <f ca="1">_xll.PALO.DATAC("jedoxtest/EU_PM_CUBE02","EUPM_Mittel2_Cube",Datenstand,"Alle Beteiligungen","Alle Koordinatoren","Alle Unternehmensgrößen","-2",E$32,28,"Alle Expertevaluierungsstatus","-2","-2",$B71,"-2","Alle","-2","anzahl_koordinatoren")</f>
        <v>1</v>
      </c>
      <c r="F71" s="466">
        <f ca="1">_xll.PALO.DATAC("jedoxtest/EU_PM_CUBE02","EUPM_Mittel2_Cube",Datenstand,"Alle Beteiligungen","Alle Koordinatoren","Alle Unternehmensgrößen","-2",F$32,28,"Alle Expertevaluierungsstatus","-2","-2",$B71,"-2","Alle","-2","anzahl_koordinatoren")</f>
        <v>0</v>
      </c>
      <c r="G71" s="466">
        <f ca="1">_xll.PALO.DATAC("jedoxtest/EU_PM_CUBE02","EUPM_Mittel2_Cube",Datenstand,"Alle Beteiligungen","Alle Koordinatoren","Alle Unternehmensgrößen","-2",G$32,28,"Alle Expertevaluierungsstatus","-2","-2",$B71,"-2","Alle","-2","anzahl_koordinatoren")</f>
        <v>0</v>
      </c>
      <c r="H71" s="466">
        <f ca="1">_xll.PALO.DATAC("jedoxtest/EU_PM_CUBE02","EUPM_Mittel2_Cube",Datenstand,"Alle Beteiligungen","Alle Koordinatoren","Alle Unternehmensgrößen","-2",H$32,28,"Alle Expertevaluierungsstatus","-2","-2",$B71,"-2","Alle","-2","anzahl_koordinatoren")</f>
        <v>0</v>
      </c>
      <c r="I71" s="466">
        <f ca="1">_xll.PALO.DATAC("jedoxtest/EU_PM_CUBE02","EUPM_Mittel2_Cube",Datenstand,"Alle Beteiligungen","Alle Koordinatoren","Alle Unternehmensgrößen","-2",I$32,28,"Alle Expertevaluierungsstatus","-2","-2",$B71,"-2","Alle","-2","anzahl_koordinatoren")</f>
        <v>0</v>
      </c>
    </row>
    <row r="72" spans="2:9" customFormat="1">
      <c r="B72">
        <v>15</v>
      </c>
      <c r="C72" s="695" t="str">
        <f ca="1">_xll.PALO.DATA("jedoxtest/EU_PM_CUBE02","#_Staatengruppen_und_NUTS","Langbezeichnung",$B72)</f>
        <v>Wien</v>
      </c>
      <c r="D72" s="675">
        <f ca="1">_xll.PALO.DATAC("jedoxtest/EU_PM_CUBE02","EUPM_Mittel2_Cube",Datenstand,"Alle Beteiligungen","Alle Koordinatoren","Alle Unternehmensgrößen","-2",D$32,28,"Alle Expertevaluierungsstatus","-2","-2",$B72,"-2","Alle","-2","anzahl_koordinatoren")</f>
        <v>456</v>
      </c>
      <c r="E72" s="467">
        <f ca="1">_xll.PALO.DATAC("jedoxtest/EU_PM_CUBE02","EUPM_Mittel2_Cube",Datenstand,"Alle Beteiligungen","Alle Koordinatoren","Alle Unternehmensgrößen","-2",E$32,28,"Alle Expertevaluierungsstatus","-2","-2",$B72,"-2","Alle","-2","anzahl_koordinatoren")</f>
        <v>289</v>
      </c>
      <c r="F72" s="467">
        <f ca="1">_xll.PALO.DATAC("jedoxtest/EU_PM_CUBE02","EUPM_Mittel2_Cube",Datenstand,"Alle Beteiligungen","Alle Koordinatoren","Alle Unternehmensgrößen","-2",F$32,28,"Alle Expertevaluierungsstatus","-2","-2",$B72,"-2","Alle","-2","anzahl_koordinatoren")</f>
        <v>30</v>
      </c>
      <c r="G72" s="467">
        <f ca="1">_xll.PALO.DATAC("jedoxtest/EU_PM_CUBE02","EUPM_Mittel2_Cube",Datenstand,"Alle Beteiligungen","Alle Koordinatoren","Alle Unternehmensgrößen","-2",G$32,28,"Alle Expertevaluierungsstatus","-2","-2",$B72,"-2","Alle","-2","anzahl_koordinatoren")</f>
        <v>122</v>
      </c>
      <c r="H72" s="467">
        <f ca="1">_xll.PALO.DATAC("jedoxtest/EU_PM_CUBE02","EUPM_Mittel2_Cube",Datenstand,"Alle Beteiligungen","Alle Koordinatoren","Alle Unternehmensgrößen","-2",H$32,28,"Alle Expertevaluierungsstatus","-2","-2",$B72,"-2","Alle","-2","anzahl_koordinatoren")</f>
        <v>3</v>
      </c>
      <c r="I72" s="467">
        <f ca="1">_xll.PALO.DATAC("jedoxtest/EU_PM_CUBE02","EUPM_Mittel2_Cube",Datenstand,"Alle Beteiligungen","Alle Koordinatoren","Alle Unternehmensgrößen","-2",I$32,28,"Alle Expertevaluierungsstatus","-2","-2",$B72,"-2","Alle","-2","anzahl_koordinatoren")</f>
        <v>12</v>
      </c>
    </row>
    <row r="73" spans="2:9" customFormat="1">
      <c r="C73" s="526"/>
    </row>
    <row r="74" spans="2:9" customFormat="1" ht="30" customHeight="1">
      <c r="C74" s="526"/>
    </row>
    <row r="75" spans="2:9" customFormat="1" ht="18.75">
      <c r="C75" s="468" t="str">
        <f ca="1">"Einreichungen, Bewilligungen und Erfolgsquote in "&amp;_xll.PALO.DATA("jedoxtest/EU_PM_CUBE02","#_Datenstand","frameworkprog_long",Datenstand)&amp;" nach Bundesländern"</f>
        <v>Einreichungen, Bewilligungen und Erfolgsquote in Horizon Europe nach Bundesländern</v>
      </c>
    </row>
    <row r="76" spans="2:9" customFormat="1">
      <c r="C76" s="526"/>
    </row>
    <row r="77" spans="2:9" customFormat="1" ht="30">
      <c r="C77" s="526"/>
      <c r="D77" s="184" t="s">
        <v>114</v>
      </c>
      <c r="E77" s="184" t="s">
        <v>42</v>
      </c>
      <c r="F77" s="184" t="str">
        <f>UPPER("Erfolgsquote der Beteiligung")</f>
        <v>ERFOLGSQUOTE DER BETEILIGUNG</v>
      </c>
    </row>
    <row r="78" spans="2:9" customFormat="1">
      <c r="B78">
        <v>1</v>
      </c>
      <c r="C78" s="519" t="str">
        <f ca="1">_xll.PALO.DATA("jedoxtest/EU_PM_CUBE02","#_Staatengruppen_und_NUTS","Langbezeichnung",$B78)</f>
        <v>Österreich</v>
      </c>
      <c r="D78" s="260">
        <f ca="1">_xll.PALO.DATAC("jedoxtest/EU_PM_CUBE02","EUPM_Mittel2_Cube",Datenstand,"Alle Beteiligungen","Alle Koordinatoren","Alle Unternehmensgrößen","-2","Alle Organisationstypen",5,"Alle Expertevaluierungsstatus","-2","-2",$B78,"-2","Alle","-2","anzahl_beteiligungen")</f>
        <v>20643</v>
      </c>
      <c r="E78" s="260">
        <f ca="1">_xll.PALO.DATAC("jedoxtest/EU_PM_CUBE02","EUPM_Mittel2_Cube",Datenstand,"Alle Beteiligungen","Alle Koordinatoren","Alle Unternehmensgrößen","-2","Alle Organisationstypen",14,"Alle Expertevaluierungsstatus","-2","-2",$B78,"-2","Alle","-2","anzahl_beteiligungen")</f>
        <v>3892</v>
      </c>
      <c r="F78" s="261">
        <f ca="1">E78/D78</f>
        <v>0.18853848762292302</v>
      </c>
    </row>
    <row r="79" spans="2:9" customFormat="1">
      <c r="B79">
        <v>3</v>
      </c>
      <c r="C79" s="693" t="str">
        <f ca="1">_xll.PALO.DATA("jedoxtest/EU_PM_CUBE02","#_Staatengruppen_und_NUTS","Langbezeichnung",$B79)</f>
        <v>Burgenland</v>
      </c>
      <c r="D79" s="124">
        <f ca="1">_xll.PALO.DATAC("jedoxtest/EU_PM_CUBE02","EUPM_Mittel2_Cube",Datenstand,"Alle Beteiligungen","Alle Koordinatoren","Alle Unternehmensgrößen","-2","Alle Organisationstypen",5,"Alle Expertevaluierungsstatus","-2","-2",$B79,"-2","Alle","-2","anzahl_beteiligungen")</f>
        <v>119</v>
      </c>
      <c r="E79" s="124">
        <f ca="1">_xll.PALO.DATAC("jedoxtest/EU_PM_CUBE02","EUPM_Mittel2_Cube",Datenstand,"Alle Beteiligungen","Alle Koordinatoren","Alle Unternehmensgrößen","-2","Alle Organisationstypen",14,"Alle Expertevaluierungsstatus","-2","-2",$B79,"-2","Alle","-2","anzahl_beteiligungen")</f>
        <v>15</v>
      </c>
      <c r="F79" s="283">
        <f t="shared" ref="F79:F80" ca="1" si="3">IFERROR(E79/D79,"                                                      -")</f>
        <v>0.12605042016806722</v>
      </c>
    </row>
    <row r="80" spans="2:9" customFormat="1">
      <c r="B80">
        <v>18</v>
      </c>
      <c r="C80" s="694" t="str">
        <f ca="1">_xll.PALO.DATA("jedoxtest/EU_PM_CUBE02","#_Staatengruppen_und_NUTS","Langbezeichnung",$B80)</f>
        <v>Kärnten</v>
      </c>
      <c r="D80" s="125">
        <f ca="1">_xll.PALO.DATAC("jedoxtest/EU_PM_CUBE02","EUPM_Mittel2_Cube",Datenstand,"Alle Beteiligungen","Alle Koordinatoren","Alle Unternehmensgrößen","-2","Alle Organisationstypen",5,"Alle Expertevaluierungsstatus","-2","-2",$B80,"-2","Alle","-2","anzahl_beteiligungen")</f>
        <v>691</v>
      </c>
      <c r="E80" s="125">
        <f ca="1">_xll.PALO.DATAC("jedoxtest/EU_PM_CUBE02","EUPM_Mittel2_Cube",Datenstand,"Alle Beteiligungen","Alle Koordinatoren","Alle Unternehmensgrößen","-2","Alle Organisationstypen",14,"Alle Expertevaluierungsstatus","-2","-2",$B80,"-2","Alle","-2","anzahl_beteiligungen")</f>
        <v>130</v>
      </c>
      <c r="F80" s="284">
        <f t="shared" ca="1" si="3"/>
        <v>0.18813314037626627</v>
      </c>
    </row>
    <row r="81" spans="1:10" customFormat="1">
      <c r="B81">
        <v>7</v>
      </c>
      <c r="C81" s="694" t="str">
        <f ca="1">_xll.PALO.DATA("jedoxtest/EU_PM_CUBE02","#_Staatengruppen_und_NUTS","Langbezeichnung",$B81)</f>
        <v>Niederösterreich</v>
      </c>
      <c r="D81" s="125">
        <f ca="1">_xll.PALO.DATAC("jedoxtest/EU_PM_CUBE02","EUPM_Mittel2_Cube",Datenstand,"Alle Beteiligungen","Alle Koordinatoren","Alle Unternehmensgrößen","-2","Alle Organisationstypen",5,"Alle Expertevaluierungsstatus","-2","-2",$B81,"-2","Alle","-2","anzahl_beteiligungen")</f>
        <v>1500</v>
      </c>
      <c r="E81" s="125">
        <f ca="1">_xll.PALO.DATAC("jedoxtest/EU_PM_CUBE02","EUPM_Mittel2_Cube",Datenstand,"Alle Beteiligungen","Alle Koordinatoren","Alle Unternehmensgrößen","-2","Alle Organisationstypen",14,"Alle Expertevaluierungsstatus","-2","-2",$B81,"-2","Alle","-2","anzahl_beteiligungen")</f>
        <v>338</v>
      </c>
      <c r="F81" s="284">
        <f t="shared" ref="F81:F87" ca="1" si="4">IFERROR(E81/D81,"                                                      -")</f>
        <v>0.22533333333333333</v>
      </c>
    </row>
    <row r="82" spans="1:10" customFormat="1">
      <c r="B82">
        <v>30</v>
      </c>
      <c r="C82" s="694" t="str">
        <f ca="1">_xll.PALO.DATA("jedoxtest/EU_PM_CUBE02","#_Staatengruppen_und_NUTS","Langbezeichnung",$B82)</f>
        <v>Oberösterreich</v>
      </c>
      <c r="D82" s="125">
        <f ca="1">_xll.PALO.DATAC("jedoxtest/EU_PM_CUBE02","EUPM_Mittel2_Cube",Datenstand,"Alle Beteiligungen","Alle Koordinatoren","Alle Unternehmensgrößen","-2","Alle Organisationstypen",5,"Alle Expertevaluierungsstatus","-2","-2",$B82,"-2","Alle","-2","anzahl_beteiligungen")</f>
        <v>1704</v>
      </c>
      <c r="E82" s="125">
        <f ca="1">_xll.PALO.DATAC("jedoxtest/EU_PM_CUBE02","EUPM_Mittel2_Cube",Datenstand,"Alle Beteiligungen","Alle Koordinatoren","Alle Unternehmensgrößen","-2","Alle Organisationstypen",14,"Alle Expertevaluierungsstatus","-2","-2",$B82,"-2","Alle","-2","anzahl_beteiligungen")</f>
        <v>264</v>
      </c>
      <c r="F82" s="284">
        <f t="shared" ca="1" si="4"/>
        <v>0.15492957746478872</v>
      </c>
    </row>
    <row r="83" spans="1:10" customFormat="1">
      <c r="B83">
        <v>36</v>
      </c>
      <c r="C83" s="694" t="str">
        <f ca="1">_xll.PALO.DATA("jedoxtest/EU_PM_CUBE02","#_Staatengruppen_und_NUTS","Langbezeichnung",$B83)</f>
        <v>Salzburg</v>
      </c>
      <c r="D83" s="125">
        <f ca="1">_xll.PALO.DATAC("jedoxtest/EU_PM_CUBE02","EUPM_Mittel2_Cube",Datenstand,"Alle Beteiligungen","Alle Koordinatoren","Alle Unternehmensgrößen","-2","Alle Organisationstypen",5,"Alle Expertevaluierungsstatus","-2","-2",$B83,"-2","Alle","-2","anzahl_beteiligungen")</f>
        <v>475</v>
      </c>
      <c r="E83" s="125">
        <f ca="1">_xll.PALO.DATAC("jedoxtest/EU_PM_CUBE02","EUPM_Mittel2_Cube",Datenstand,"Alle Beteiligungen","Alle Koordinatoren","Alle Unternehmensgrößen","-2","Alle Organisationstypen",14,"Alle Expertevaluierungsstatus","-2","-2",$B83,"-2","Alle","-2","anzahl_beteiligungen")</f>
        <v>83</v>
      </c>
      <c r="F83" s="284">
        <f t="shared" ca="1" si="4"/>
        <v>0.17473684210526316</v>
      </c>
    </row>
    <row r="84" spans="1:10" customFormat="1">
      <c r="B84">
        <v>22</v>
      </c>
      <c r="C84" s="694" t="str">
        <f ca="1">_xll.PALO.DATA("jedoxtest/EU_PM_CUBE02","#_Staatengruppen_und_NUTS","Langbezeichnung",$B84)</f>
        <v>Steiermark</v>
      </c>
      <c r="D84" s="125">
        <f ca="1">_xll.PALO.DATAC("jedoxtest/EU_PM_CUBE02","EUPM_Mittel2_Cube",Datenstand,"Alle Beteiligungen","Alle Koordinatoren","Alle Unternehmensgrößen","-2","Alle Organisationstypen",5,"Alle Expertevaluierungsstatus","-2","-2",$B84,"-2","Alle","-2","anzahl_beteiligungen")</f>
        <v>4209</v>
      </c>
      <c r="E84" s="125">
        <f ca="1">_xll.PALO.DATAC("jedoxtest/EU_PM_CUBE02","EUPM_Mittel2_Cube",Datenstand,"Alle Beteiligungen","Alle Koordinatoren","Alle Unternehmensgrößen","-2","Alle Organisationstypen",14,"Alle Expertevaluierungsstatus","-2","-2",$B84,"-2","Alle","-2","anzahl_beteiligungen")</f>
        <v>782</v>
      </c>
      <c r="F84" s="284">
        <f t="shared" ca="1" si="4"/>
        <v>0.18579234972677597</v>
      </c>
    </row>
    <row r="85" spans="1:10" customFormat="1">
      <c r="B85">
        <v>40</v>
      </c>
      <c r="C85" s="694" t="str">
        <f ca="1">_xll.PALO.DATA("jedoxtest/EU_PM_CUBE02","#_Staatengruppen_und_NUTS","Langbezeichnung",$B85)</f>
        <v>Tirol</v>
      </c>
      <c r="D85" s="125">
        <f ca="1">_xll.PALO.DATAC("jedoxtest/EU_PM_CUBE02","EUPM_Mittel2_Cube",Datenstand,"Alle Beteiligungen","Alle Koordinatoren","Alle Unternehmensgrößen","-2","Alle Organisationstypen",5,"Alle Expertevaluierungsstatus","-2","-2",$B85,"-2","Alle","-2","anzahl_beteiligungen")</f>
        <v>1074</v>
      </c>
      <c r="E85" s="125">
        <f ca="1">_xll.PALO.DATAC("jedoxtest/EU_PM_CUBE02","EUPM_Mittel2_Cube",Datenstand,"Alle Beteiligungen","Alle Koordinatoren","Alle Unternehmensgrößen","-2","Alle Organisationstypen",14,"Alle Expertevaluierungsstatus","-2","-2",$B85,"-2","Alle","-2","anzahl_beteiligungen")</f>
        <v>210</v>
      </c>
      <c r="F85" s="284">
        <f t="shared" ca="1" si="4"/>
        <v>0.19553072625698323</v>
      </c>
    </row>
    <row r="86" spans="1:10" customFormat="1">
      <c r="B86">
        <v>46</v>
      </c>
      <c r="C86" s="694" t="str">
        <f ca="1">_xll.PALO.DATA("jedoxtest/EU_PM_CUBE02","#_Staatengruppen_und_NUTS","Langbezeichnung",$B86)</f>
        <v>Vorarlberg</v>
      </c>
      <c r="D86" s="125">
        <f ca="1">_xll.PALO.DATAC("jedoxtest/EU_PM_CUBE02","EUPM_Mittel2_Cube",Datenstand,"Alle Beteiligungen","Alle Koordinatoren","Alle Unternehmensgrößen","-2","Alle Organisationstypen",5,"Alle Expertevaluierungsstatus","-2","-2",$B86,"-2","Alle","-2","anzahl_beteiligungen")</f>
        <v>135</v>
      </c>
      <c r="E86" s="125">
        <f ca="1">_xll.PALO.DATAC("jedoxtest/EU_PM_CUBE02","EUPM_Mittel2_Cube",Datenstand,"Alle Beteiligungen","Alle Koordinatoren","Alle Unternehmensgrößen","-2","Alle Organisationstypen",14,"Alle Expertevaluierungsstatus","-2","-2",$B86,"-2","Alle","-2","anzahl_beteiligungen")</f>
        <v>12</v>
      </c>
      <c r="F86" s="284">
        <f t="shared" ca="1" si="4"/>
        <v>8.8888888888888892E-2</v>
      </c>
    </row>
    <row r="87" spans="1:10" customFormat="1">
      <c r="B87">
        <v>15</v>
      </c>
      <c r="C87" s="695" t="str">
        <f ca="1">_xll.PALO.DATA("jedoxtest/EU_PM_CUBE02","#_Staatengruppen_und_NUTS","Langbezeichnung",$B87)</f>
        <v>Wien</v>
      </c>
      <c r="D87" s="126">
        <f ca="1">_xll.PALO.DATAC("jedoxtest/EU_PM_CUBE02","EUPM_Mittel2_Cube",Datenstand,"Alle Beteiligungen","Alle Koordinatoren","Alle Unternehmensgrößen","-2","Alle Organisationstypen",5,"Alle Expertevaluierungsstatus","-2","-2",$B87,"-2","Alle","-2","anzahl_beteiligungen")</f>
        <v>10734</v>
      </c>
      <c r="E87" s="126">
        <f ca="1">_xll.PALO.DATAC("jedoxtest/EU_PM_CUBE02","EUPM_Mittel2_Cube",Datenstand,"Alle Beteiligungen","Alle Koordinatoren","Alle Unternehmensgrößen","-2","Alle Organisationstypen",14,"Alle Expertevaluierungsstatus","-2","-2",$B87,"-2","Alle","-2","anzahl_beteiligungen")</f>
        <v>2058</v>
      </c>
      <c r="F87" s="285">
        <f t="shared" ca="1" si="4"/>
        <v>0.19172722191168251</v>
      </c>
    </row>
    <row r="88" spans="1:10" customFormat="1"/>
    <row r="89" spans="1:10" customFormat="1"/>
    <row r="90" spans="1:10" customFormat="1">
      <c r="D90" s="740" t="str">
        <f ca="1">"Quelle: EC "&amp;_xll.PALO.DATA("jedoxtest/EU_PM_CUBE02","#_Datenstand","reference_month",Datenstand)&amp;"/"&amp;_xll.PALO.DATA("jedoxtest/EU_PM_CUBE02","#_Datenstand","reference_year",Datenstand)&amp;"; Darstellung FFG"</f>
        <v>Quelle: EC 5/2026; Darstellung FFG</v>
      </c>
      <c r="E90" s="740"/>
      <c r="F90" s="740"/>
      <c r="G90" s="740"/>
      <c r="H90" s="740"/>
      <c r="I90" s="740"/>
      <c r="J90" s="312"/>
    </row>
    <row r="91" spans="1:10" customFormat="1"/>
    <row r="92" spans="1:10" customFormat="1"/>
    <row r="93" spans="1:10" ht="15" customHeight="1">
      <c r="D93" s="683"/>
      <c r="E93" s="683"/>
      <c r="F93" s="284"/>
    </row>
    <row r="94" spans="1:10" hidden="1">
      <c r="A94" s="311" t="b">
        <f ca="1">_xll.PALO.HIDEROW(ISBLANK($A$1))</f>
        <v>1</v>
      </c>
      <c r="C94" s="311" t="s">
        <v>191</v>
      </c>
      <c r="D94" s="311" t="str">
        <f ca="1">_xll.PALO.ENAME("jedoxtest/EU_PM_CUBE02","Datenstand",3)</f>
        <v>117</v>
      </c>
    </row>
    <row r="108" spans="5:5">
      <c r="E108" s="312"/>
    </row>
    <row r="114" spans="5:5">
      <c r="E114" s="312" t="str">
        <f ca="1">"Quelle: EC "&amp;_xll.PALO.DATA("jedoxtest/EU_PM_CUBE02","#_Datenstand","reference_month",Datenstand)&amp;"/"&amp;_xll.PALO.DATA("jedoxtest/EU_PM_CUBE02","#_Datenstand","reference_year",Datenstand)&amp;"; Darstellung FFG"</f>
        <v>Quelle: EC 5/2026; Darstellung FFG</v>
      </c>
    </row>
  </sheetData>
  <mergeCells count="1">
    <mergeCell ref="D90:I90"/>
  </mergeCells>
  <pageMargins left="0.70866141732283472" right="0.70866141732283472" top="0.74803149606299213" bottom="0.74803149606299213" header="0.31496062992125984" footer="0.31496062992125984"/>
  <pageSetup paperSize="9" scale="62" fitToHeight="2" orientation="portrait" r:id="rId1"/>
  <headerFooter>
    <oddHeader>&amp;R&amp;G</oddHeader>
    <oddFooter>&amp;L&amp;7&amp;KA6A6A6Österreichische Forschungsförderungsgesellschaft mbH
Sensengasse 1, A-1090 Wien&amp;C&amp;7&amp;KA6A6A6EU-PM
&amp;D&amp;R&amp;7&amp;KA6A6A6Seite &amp;P von &amp;N</oddFooter>
  </headerFooter>
  <rowBreaks count="1" manualBreakCount="1">
    <brk id="57" min="2" max="8"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4">
    <tabColor rgb="FF92D050"/>
    <pageSetUpPr fitToPage="1"/>
  </sheetPr>
  <dimension ref="A1:IV84"/>
  <sheetViews>
    <sheetView topLeftCell="A62" zoomScaleNormal="100" workbookViewId="0">
      <selection activeCell="G76" sqref="G76"/>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6" width="22.28515625" style="80" customWidth="1"/>
    <col min="7"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"&amp;_xll.PALO.DATA("jedoxtest/EU_PM_CUBE02","#_Datenstand","frameworkprog_long",$C$62)</f>
        <v>Österreich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408</v>
      </c>
      <c r="O7" s="80" t="s">
        <v>409</v>
      </c>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35" t="s">
        <v>74</v>
      </c>
      <c r="F9" s="35"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292</v>
      </c>
      <c r="E10" s="86">
        <f t="shared" ref="E10:E28" ca="1" si="0">IF(I10=0,0,ABS(H10-I10))</f>
        <v>0</v>
      </c>
      <c r="F10" s="86">
        <f ca="1">J10-H10-E10</f>
        <v>1024</v>
      </c>
      <c r="G10" s="80"/>
      <c r="H10" s="86">
        <f ca="1">_xll.PALO.DATAC("jedoxtest/EU_PM_CUBE02","EUPM_Mittel2_Cube",$C$62,"Alle Beteiligungen","Alle Koordinatoren","Alle Unternehmensgrößen","-2","Alle Organisationstypen",28,"Alle Expertevaluierungsstatus",$B10,"-2",BL_FactSheet_Bundesland,"-2","Alle","-2","anzahl_beteiligungen")</f>
        <v>292</v>
      </c>
      <c r="I10" s="87">
        <f ca="1">_xll.PALO.DATAC("jedoxtest/EU_PM_CUBE02","EUPM_Mittel2_Cube",$C$62,"Alle Beteiligungen","Alle Koordinatoren","Alle Unternehmensgrößen","-2","Alle Organisationstypen",28,"Alle Expertevaluierungsstatus",$B10,"-2",BL_FactSheet_Bundesland,"-2","Alle","-2","anzahl_beteiligungen")</f>
        <v>292</v>
      </c>
      <c r="J10" s="86">
        <f ca="1">_xll.PALO.DATAC("jedoxtest/EU_PM_CUBE02","EUPM_Mittel2_Cube",$C$62,"Alle Beteiligungen","Alle Koordinatoren","Alle Unternehmensgrößen","-2","Alle Organisationstypen",5,"Alle Expertevaluierungsstatus",$B10,"-2",BL_FactSheet_Bundesland,"-2","Alle","-2","anzahl_beteiligungen")</f>
        <v>1316</v>
      </c>
      <c r="K10" s="80"/>
      <c r="L10" s="80">
        <v>16</v>
      </c>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729</v>
      </c>
      <c r="E11" s="86">
        <f t="shared" ca="1" si="0"/>
        <v>0</v>
      </c>
      <c r="F11" s="86">
        <f t="shared" ref="F11:F28" ca="1" si="2">J11-H11-E11</f>
        <v>3775</v>
      </c>
      <c r="G11" s="80"/>
      <c r="H11" s="86">
        <f ca="1">_xll.PALO.DATAC("jedoxtest/EU_PM_CUBE02","EUPM_Mittel2_Cube",$C$62,"Alle Beteiligungen","Alle Koordinatoren","Alle Unternehmensgrößen","-2","Alle Organisationstypen",28,"Alle Expertevaluierungsstatus",$B11,"-2",BL_FactSheet_Bundesland,"-2","Alle","-2","anzahl_beteiligungen")</f>
        <v>729</v>
      </c>
      <c r="I11" s="87">
        <f ca="1">_xll.PALO.DATAC("jedoxtest/EU_PM_CUBE02","EUPM_Mittel2_Cube",$C$62,"Alle Beteiligungen","Alle Koordinatoren","Alle Unternehmensgrößen","-2","Alle Organisationstypen",28,"Alle Expertevaluierungsstatus",$B11,"-2",BL_FactSheet_Bundesland,"-2","Alle","-2","anzahl_beteiligungen")</f>
        <v>729</v>
      </c>
      <c r="J11" s="86">
        <f ca="1">_xll.PALO.DATAC("jedoxtest/EU_PM_CUBE02","EUPM_Mittel2_Cube",$C$62,"Alle Beteiligungen","Alle Koordinatoren","Alle Unternehmensgrößen","-2","Alle Organisationstypen",5,"Alle Expertevaluierungsstatus",$B11,"-2",BL_FactSheet_Bundesland,"-2","Alle","-2","anzahl_beteiligungen")</f>
        <v>4504</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123</v>
      </c>
      <c r="E12" s="86">
        <f t="shared" ca="1" si="0"/>
        <v>0</v>
      </c>
      <c r="F12" s="86">
        <f t="shared" ca="1" si="2"/>
        <v>121</v>
      </c>
      <c r="G12" s="80"/>
      <c r="H12" s="86">
        <f ca="1">_xll.PALO.DATAC("jedoxtest/EU_PM_CUBE02","EUPM_Mittel2_Cube",$C$62,"Alle Beteiligungen","Alle Koordinatoren","Alle Unternehmensgrößen","-2","Alle Organisationstypen",28,"Alle Expertevaluierungsstatus",$B12,"-2",BL_FactSheet_Bundesland,"-2","Alle","-2","anzahl_beteiligungen")</f>
        <v>123</v>
      </c>
      <c r="I12" s="87">
        <f ca="1">_xll.PALO.DATAC("jedoxtest/EU_PM_CUBE02","EUPM_Mittel2_Cube",$C$62,"Alle Beteiligungen","Alle Koordinatoren","Alle Unternehmensgrößen","-2","Alle Organisationstypen",28,"Alle Expertevaluierungsstatus",$B12,"-2",BL_FactSheet_Bundesland,"-2","Alle","-2","anzahl_beteiligungen")</f>
        <v>123</v>
      </c>
      <c r="J12" s="86">
        <f ca="1">_xll.PALO.DATAC("jedoxtest/EU_PM_CUBE02","EUPM_Mittel2_Cube",$C$62,"Alle Beteiligungen","Alle Koordinatoren","Alle Unternehmensgrößen","-2","Alle Organisationstypen",5,"Alle Expertevaluierungsstatus",$B12,"-2",BL_FactSheet_Bundesland,"-2","Alle","-2","anzahl_beteiligungen")</f>
        <v>244</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_xll.PALO.DATAC("jedoxtest/EU_PM_CUBE02","EUPM_Mittel2_Cube",$C$62,"Alle Beteiligungen","Alle Koordinatoren","Alle Unternehmensgrößen","-2","Alle Organisationstypen",28,"Alle Expertevaluierungsstatus",$B13,"-2",BL_FactSheet_Bundesland,"-2","Alle","-2","anzahl_beteiligungen")</f>
        <v/>
      </c>
      <c r="J13" s="86" t="str">
        <f ca="1">_xll.PALO.DATAC("jedoxtest/EU_PM_CUBE02","EUPM_Mittel2_Cube",$C$62,"Alle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259</v>
      </c>
      <c r="E14" s="86">
        <f t="shared" ca="1" si="0"/>
        <v>0</v>
      </c>
      <c r="F14" s="86">
        <f t="shared" ca="1" si="2"/>
        <v>948</v>
      </c>
      <c r="G14" s="80"/>
      <c r="H14" s="86">
        <f ca="1">_xll.PALO.DATAC("jedoxtest/EU_PM_CUBE02","EUPM_Mittel2_Cube",$C$62,"Alle Beteiligungen","Alle Koordinatoren","Alle Unternehmensgrößen","-2","Alle Organisationstypen",28,"Alle Expertevaluierungsstatus",$B14,"-2",BL_FactSheet_Bundesland,"-2","Alle","-2","anzahl_beteiligungen")</f>
        <v>259</v>
      </c>
      <c r="I14" s="87">
        <f ca="1">_xll.PALO.DATAC("jedoxtest/EU_PM_CUBE02","EUPM_Mittel2_Cube",$C$62,"Alle Beteiligungen","Alle Koordinatoren","Alle Unternehmensgrößen","-2","Alle Organisationstypen",28,"Alle Expertevaluierungsstatus",$B14,"-2",BL_FactSheet_Bundesland,"-2","Alle","-2","anzahl_beteiligungen")</f>
        <v>259</v>
      </c>
      <c r="J14" s="86">
        <f ca="1">_xll.PALO.DATAC("jedoxtest/EU_PM_CUBE02","EUPM_Mittel2_Cube",$C$62,"Alle Beteiligungen","Alle Koordinatoren","Alle Unternehmensgrößen","-2","Alle Organisationstypen",5,"Alle Expertevaluierungsstatus",$B14,"-2",BL_FactSheet_Bundesland,"-2","Alle","-2","anzahl_beteiligungen")</f>
        <v>1207</v>
      </c>
      <c r="K14" s="80"/>
      <c r="L14" s="80">
        <v>39</v>
      </c>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182</v>
      </c>
      <c r="E15" s="86">
        <f t="shared" ca="1" si="0"/>
        <v>0</v>
      </c>
      <c r="F15" s="86">
        <f t="shared" ca="1" si="2"/>
        <v>1088</v>
      </c>
      <c r="G15" s="80"/>
      <c r="H15" s="86">
        <f ca="1">_xll.PALO.DATAC("jedoxtest/EU_PM_CUBE02","EUPM_Mittel2_Cube",$C$62,"Alle Beteiligungen","Alle Koordinatoren","Alle Unternehmensgrößen","-2","Alle Organisationstypen",28,"Alle Expertevaluierungsstatus",$B15,"-2",BL_FactSheet_Bundesland,"-2","Alle","-2","anzahl_beteiligungen")</f>
        <v>182</v>
      </c>
      <c r="I15" s="87">
        <f ca="1">_xll.PALO.DATAC("jedoxtest/EU_PM_CUBE02","EUPM_Mittel2_Cube",$C$62,"Alle Beteiligungen","Alle Koordinatoren","Alle Unternehmensgrößen","-2","Alle Organisationstypen",28,"Alle Expertevaluierungsstatus",$B15,"-2",BL_FactSheet_Bundesland,"-2","Alle","-2","anzahl_beteiligungen")</f>
        <v>182</v>
      </c>
      <c r="J15" s="86">
        <f ca="1">_xll.PALO.DATAC("jedoxtest/EU_PM_CUBE02","EUPM_Mittel2_Cube",$C$62,"Alle Beteiligungen","Alle Koordinatoren","Alle Unternehmensgrößen","-2","Alle Organisationstypen",5,"Alle Expertevaluierungsstatus",$B15,"-2",BL_FactSheet_Bundesland,"-2","Alle","-2","anzahl_beteiligungen")</f>
        <v>1270</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88</v>
      </c>
      <c r="E16" s="86">
        <f t="shared" ca="1" si="0"/>
        <v>0</v>
      </c>
      <c r="F16" s="86">
        <f t="shared" ca="1" si="2"/>
        <v>866</v>
      </c>
      <c r="G16" s="80"/>
      <c r="H16" s="86">
        <f ca="1">_xll.PALO.DATAC("jedoxtest/EU_PM_CUBE02","EUPM_Mittel2_Cube",$C$62,"Alle Beteiligungen","Alle Koordinatoren","Alle Unternehmensgrößen","-2","Alle Organisationstypen",28,"Alle Expertevaluierungsstatus",$B16,"-2",BL_FactSheet_Bundesland,"-2","Alle","-2","anzahl_beteiligungen")</f>
        <v>88</v>
      </c>
      <c r="I16" s="87">
        <f ca="1">_xll.PALO.DATAC("jedoxtest/EU_PM_CUBE02","EUPM_Mittel2_Cube",$C$62,"Alle Beteiligungen","Alle Koordinatoren","Alle Unternehmensgrößen","-2","Alle Organisationstypen",28,"Alle Expertevaluierungsstatus",$B16,"-2",BL_FactSheet_Bundesland,"-2","Alle","-2","anzahl_beteiligungen")</f>
        <v>88</v>
      </c>
      <c r="J16" s="86">
        <f ca="1">_xll.PALO.DATAC("jedoxtest/EU_PM_CUBE02","EUPM_Mittel2_Cube",$C$62,"Alle Beteiligungen","Alle Koordinatoren","Alle Unternehmensgrößen","-2","Alle Organisationstypen",5,"Alle Expertevaluierungsstatus",$B16,"-2",BL_FactSheet_Bundesland,"-2","Alle","-2","anzahl_beteiligungen")</f>
        <v>954</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745</v>
      </c>
      <c r="E17" s="86">
        <f t="shared" ca="1" si="0"/>
        <v>0</v>
      </c>
      <c r="F17" s="86">
        <f t="shared" ca="1" si="2"/>
        <v>2745</v>
      </c>
      <c r="G17" s="80"/>
      <c r="H17" s="86">
        <f ca="1">_xll.PALO.DATAC("jedoxtest/EU_PM_CUBE02","EUPM_Mittel2_Cube",$C$62,"Alle Beteiligungen","Alle Koordinatoren","Alle Unternehmensgrößen","-2","Alle Organisationstypen",28,"Alle Expertevaluierungsstatus",$B17,"-2",BL_FactSheet_Bundesland,"-2","Alle","-2","anzahl_beteiligungen")</f>
        <v>745</v>
      </c>
      <c r="I17" s="87">
        <f ca="1">_xll.PALO.DATAC("jedoxtest/EU_PM_CUBE02","EUPM_Mittel2_Cube",$C$62,"Alle Beteiligungen","Alle Koordinatoren","Alle Unternehmensgrößen","-2","Alle Organisationstypen",28,"Alle Expertevaluierungsstatus",$B17,"-2",BL_FactSheet_Bundesland,"-2","Alle","-2","anzahl_beteiligungen")</f>
        <v>745</v>
      </c>
      <c r="J17" s="86">
        <f ca="1">_xll.PALO.DATAC("jedoxtest/EU_PM_CUBE02","EUPM_Mittel2_Cube",$C$62,"Alle Beteiligungen","Alle Koordinatoren","Alle Unternehmensgrößen","-2","Alle Organisationstypen",5,"Alle Expertevaluierungsstatus",$B17,"-2",BL_FactSheet_Bundesland,"-2","Alle","-2","anzahl_beteiligungen")</f>
        <v>3490</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783</v>
      </c>
      <c r="E18" s="86">
        <f t="shared" ca="1" si="0"/>
        <v>0</v>
      </c>
      <c r="F18" s="86">
        <f t="shared" ca="1" si="2"/>
        <v>2747</v>
      </c>
      <c r="G18" s="80"/>
      <c r="H18" s="86">
        <f ca="1">_xll.PALO.DATAC("jedoxtest/EU_PM_CUBE02","EUPM_Mittel2_Cube",$C$62,"Alle Beteiligungen","Alle Koordinatoren","Alle Unternehmensgrößen","-2","Alle Organisationstypen",28,"Alle Expertevaluierungsstatus",$B18,"-2",BL_FactSheet_Bundesland,"-2","Alle","-2","anzahl_beteiligungen")</f>
        <v>783</v>
      </c>
      <c r="I18" s="87">
        <f ca="1">_xll.PALO.DATAC("jedoxtest/EU_PM_CUBE02","EUPM_Mittel2_Cube",$C$62,"Alle Beteiligungen","Alle Koordinatoren","Alle Unternehmensgrößen","-2","Alle Organisationstypen",28,"Alle Expertevaluierungsstatus",$B18,"-2",BL_FactSheet_Bundesland,"-2","Alle","-2","anzahl_beteiligungen")</f>
        <v>783</v>
      </c>
      <c r="J18" s="86">
        <f ca="1">_xll.PALO.DATAC("jedoxtest/EU_PM_CUBE02","EUPM_Mittel2_Cube",$C$62,"Alle Beteiligungen","Alle Koordinatoren","Alle Unternehmensgrößen","-2","Alle Organisationstypen",5,"Alle Expertevaluierungsstatus",$B18,"-2",BL_FactSheet_Bundesland,"-2","Alle","-2","anzahl_beteiligungen")</f>
        <v>3530</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439</v>
      </c>
      <c r="E19" s="86">
        <f t="shared" ca="1" si="0"/>
        <v>0</v>
      </c>
      <c r="F19" s="86">
        <f t="shared" ca="1" si="2"/>
        <v>1315</v>
      </c>
      <c r="G19" s="80"/>
      <c r="H19" s="86">
        <f ca="1">_xll.PALO.DATAC("jedoxtest/EU_PM_CUBE02","EUPM_Mittel2_Cube",$C$62,"Alle Beteiligungen","Alle Koordinatoren","Alle Unternehmensgrößen","-2","Alle Organisationstypen",28,"Alle Expertevaluierungsstatus",$B19,"-2",BL_FactSheet_Bundesland,"-2","Alle","-2","anzahl_beteiligungen")</f>
        <v>439</v>
      </c>
      <c r="I19" s="87">
        <f ca="1">_xll.PALO.DATAC("jedoxtest/EU_PM_CUBE02","EUPM_Mittel2_Cube",$C$62,"Alle Beteiligungen","Alle Koordinatoren","Alle Unternehmensgrößen","-2","Alle Organisationstypen",28,"Alle Expertevaluierungsstatus",$B19,"-2",BL_FactSheet_Bundesland,"-2","Alle","-2","anzahl_beteiligungen")</f>
        <v>439</v>
      </c>
      <c r="J19" s="86">
        <f ca="1">_xll.PALO.DATAC("jedoxtest/EU_PM_CUBE02","EUPM_Mittel2_Cube",$C$62,"Alle Beteiligungen","Alle Koordinatoren","Alle Unternehmensgrößen","-2","Alle Organisationstypen",5,"Alle Expertevaluierungsstatus",$B19,"-2",BL_FactSheet_Bundesland,"-2","Alle","-2","anzahl_beteiligungen")</f>
        <v>1754</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_xll.PALO.DATAC("jedoxtest/EU_PM_CUBE02","EUPM_Mittel2_Cube",$C$62,"Alle Beteiligungen","Alle Koordinatoren","Alle Unternehmensgrößen","-2","Alle Organisationstypen",28,"Alle Expertevaluierungsstatus",$B20,"-2",BL_FactSheet_Bundesland,"-2","Alle","-2","anzahl_beteiligungen")</f>
        <v/>
      </c>
      <c r="J20" s="86" t="str">
        <f ca="1">_xll.PALO.DATAC("jedoxtest/EU_PM_CUBE02","EUPM_Mittel2_Cube",$C$62,"Alle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142</v>
      </c>
      <c r="E21" s="86">
        <f t="shared" ca="1" si="0"/>
        <v>0</v>
      </c>
      <c r="F21" s="86">
        <f t="shared" ca="1" si="2"/>
        <v>1565</v>
      </c>
      <c r="G21" s="80"/>
      <c r="H21" s="86">
        <f ca="1">_xll.PALO.DATAC("jedoxtest/EU_PM_CUBE02","EUPM_Mittel2_Cube",$C$62,"Alle Beteiligungen","Alle Koordinatoren","Alle Unternehmensgrößen","-2","Alle Organisationstypen",28,"Alle Expertevaluierungsstatus",$B21,"-2",BL_FactSheet_Bundesland,"-2","Alle","-2","anzahl_beteiligungen")</f>
        <v>142</v>
      </c>
      <c r="I21" s="87">
        <f ca="1">_xll.PALO.DATAC("jedoxtest/EU_PM_CUBE02","EUPM_Mittel2_Cube",$C$62,"Alle Beteiligungen","Alle Koordinatoren","Alle Unternehmensgrößen","-2","Alle Organisationstypen",28,"Alle Expertevaluierungsstatus",$B21,"-2",BL_FactSheet_Bundesland,"-2","Alle","-2","anzahl_beteiligungen")</f>
        <v>142</v>
      </c>
      <c r="J21" s="86">
        <f ca="1">_xll.PALO.DATAC("jedoxtest/EU_PM_CUBE02","EUPM_Mittel2_Cube",$C$62,"Alle Beteiligungen","Alle Koordinatoren","Alle Unternehmensgrößen","-2","Alle Organisationstypen",5,"Alle Expertevaluierungsstatus",$B21,"-2",BL_FactSheet_Bundesland,"-2","Alle","-2","anzahl_beteiligungen")</f>
        <v>1707</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19</v>
      </c>
      <c r="E22" s="86">
        <f t="shared" ca="1" si="0"/>
        <v>0</v>
      </c>
      <c r="F22" s="86">
        <f t="shared" ca="1" si="2"/>
        <v>120</v>
      </c>
      <c r="G22" s="80"/>
      <c r="H22" s="86">
        <f ca="1">_xll.PALO.DATAC("jedoxtest/EU_PM_CUBE02","EUPM_Mittel2_Cube",$C$62,"Alle Beteiligungen","Alle Koordinatoren","Alle Unternehmensgrößen","-2","Alle Organisationstypen",28,"Alle Expertevaluierungsstatus",$B22,"-2",BL_FactSheet_Bundesland,"-2","Alle","-2","anzahl_beteiligungen")</f>
        <v>19</v>
      </c>
      <c r="I22" s="87">
        <f ca="1">_xll.PALO.DATAC("jedoxtest/EU_PM_CUBE02","EUPM_Mittel2_Cube",$C$62,"Alle Beteiligungen","Alle Koordinatoren","Alle Unternehmensgrößen","-2","Alle Organisationstypen",28,"Alle Expertevaluierungsstatus",$B22,"-2",BL_FactSheet_Bundesland,"-2","Alle","-2","anzahl_beteiligungen")</f>
        <v>19</v>
      </c>
      <c r="J22" s="86">
        <f ca="1">_xll.PALO.DATAC("jedoxtest/EU_PM_CUBE02","EUPM_Mittel2_Cube",$C$62,"Alle Beteiligungen","Alle Koordinatoren","Alle Unternehmensgrößen","-2","Alle Organisationstypen",5,"Alle Expertevaluierungsstatus",$B22,"-2",BL_FactSheet_Bundesland,"-2","Alle","-2","anzahl_beteiligungen")</f>
        <v>139</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8</v>
      </c>
      <c r="E23" s="86">
        <f t="shared" ca="1" si="0"/>
        <v>0</v>
      </c>
      <c r="F23" s="86">
        <f t="shared" ca="1" si="2"/>
        <v>0</v>
      </c>
      <c r="G23" s="80"/>
      <c r="H23" s="86">
        <f ca="1">_xll.PALO.DATAC("jedoxtest/EU_PM_CUBE02","EUPM_Mittel2_Cube",$C$62,"Alle Beteiligungen","Alle Koordinatoren","Alle Unternehmensgrößen","-2","Alle Organisationstypen",28,"Alle Expertevaluierungsstatus",$B23,"-2",BL_FactSheet_Bundesland,"-2","Alle","-2","anzahl_beteiligungen")</f>
        <v>8</v>
      </c>
      <c r="I23" s="87">
        <f ca="1">_xll.PALO.DATAC("jedoxtest/EU_PM_CUBE02","EUPM_Mittel2_Cube",$C$62,"Alle Beteiligungen","Alle Koordinatoren","Alle Unternehmensgrößen","-2","Alle Organisationstypen",28,"Alle Expertevaluierungsstatus",$B23,"-2",BL_FactSheet_Bundesland,"-2","Alle","-2","anzahl_beteiligungen")</f>
        <v>8</v>
      </c>
      <c r="J23" s="86">
        <f ca="1">_xll.PALO.DATAC("jedoxtest/EU_PM_CUBE02","EUPM_Mittel2_Cube",$C$62,"Alle Beteiligungen","Alle Koordinatoren","Alle Unternehmensgrößen","-2","Alle Organisationstypen",5,"Alle Expertevaluierungsstatus",$B23,"-2",BL_FactSheet_Bundesland,"-2","Alle","-2","anzahl_beteiligungen")</f>
        <v>8</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_xll.PALO.DATAC("jedoxtest/EU_PM_CUBE02","EUPM_Mittel2_Cube",$C$62,"Alle Beteiligungen","Alle Koordinatoren","Alle Unternehmensgrößen","-2","Alle Organisationstypen",28,"Alle Expertevaluierungsstatus",$B24,"-2",BL_FactSheet_Bundesland,"-2","Alle","-2","anzahl_beteiligungen")</f>
        <v/>
      </c>
      <c r="J24" s="86" t="str">
        <f ca="1">_xll.PALO.DATAC("jedoxtest/EU_PM_CUBE02","EUPM_Mittel2_Cube",$C$62,"Alle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65</v>
      </c>
      <c r="E25" s="86">
        <f t="shared" ca="1" si="0"/>
        <v>0</v>
      </c>
      <c r="F25" s="86">
        <f t="shared" ca="1" si="2"/>
        <v>299</v>
      </c>
      <c r="G25" s="80"/>
      <c r="H25" s="86">
        <f ca="1">_xll.PALO.DATAC("jedoxtest/EU_PM_CUBE02","EUPM_Mittel2_Cube",$C$62,"Alle Beteiligungen","Alle Koordinatoren","Alle Unternehmensgrößen","-2","Alle Organisationstypen",28,"Alle Expertevaluierungsstatus",$B25,"-2",BL_FactSheet_Bundesland,"-2","Alle","-2","anzahl_beteiligungen")</f>
        <v>65</v>
      </c>
      <c r="I25" s="87">
        <f ca="1">_xll.PALO.DATAC("jedoxtest/EU_PM_CUBE02","EUPM_Mittel2_Cube",$C$62,"Alle Beteiligungen","Alle Koordinatoren","Alle Unternehmensgrößen","-2","Alle Organisationstypen",28,"Alle Expertevaluierungsstatus",$B25,"-2",BL_FactSheet_Bundesland,"-2","Alle","-2","anzahl_beteiligungen")</f>
        <v>65</v>
      </c>
      <c r="J25" s="86">
        <f ca="1">_xll.PALO.DATAC("jedoxtest/EU_PM_CUBE02","EUPM_Mittel2_Cube",$C$62,"Alle Beteiligungen","Alle Koordinatoren","Alle Unternehmensgrößen","-2","Alle Organisationstypen",5,"Alle Expertevaluierungsstatus",$B25,"-2",BL_FactSheet_Bundesland,"-2","Alle","-2","anzahl_beteiligungen")</f>
        <v>364</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45</v>
      </c>
      <c r="E26" s="86">
        <f t="shared" ca="1" si="0"/>
        <v>0</v>
      </c>
      <c r="F26" s="86">
        <f t="shared" ca="1" si="2"/>
        <v>111</v>
      </c>
      <c r="G26" s="80"/>
      <c r="H26" s="86">
        <f ca="1">_xll.PALO.DATAC("jedoxtest/EU_PM_CUBE02","EUPM_Mittel2_Cube",$C$62,"Alle Beteiligungen","Alle Koordinatoren","Alle Unternehmensgrößen","-2","Alle Organisationstypen",28,"Alle Expertevaluierungsstatus",$B26,"-2",BL_FactSheet_Bundesland,"-2","Alle","-2","anzahl_beteiligungen")</f>
        <v>45</v>
      </c>
      <c r="I26" s="87">
        <f ca="1">_xll.PALO.DATAC("jedoxtest/EU_PM_CUBE02","EUPM_Mittel2_Cube",$C$62,"Alle Beteiligungen","Alle Koordinatoren","Alle Unternehmensgrößen","-2","Alle Organisationstypen",28,"Alle Expertevaluierungsstatus",$B26,"-2",BL_FactSheet_Bundesland,"-2","Alle","-2","anzahl_beteiligungen")</f>
        <v>45</v>
      </c>
      <c r="J26" s="86">
        <f ca="1">_xll.PALO.DATAC("jedoxtest/EU_PM_CUBE02","EUPM_Mittel2_Cube",$C$62,"Alle Beteiligungen","Alle Koordinatoren","Alle Unternehmensgrößen","-2","Alle Organisationstypen",5,"Alle Expertevaluierungsstatus",$B26,"-2",BL_FactSheet_Bundesland,"-2","Alle","-2","anzahl_beteiligungen")</f>
        <v>156</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_xll.PALO.DATAC("jedoxtest/EU_PM_CUBE02","EUPM_Mittel2_Cube",$C$62,"Alle Beteiligungen","Alle Koordinatoren","Alle Unternehmensgrößen","-2","Alle Organisationstypen",28,"Alle Expertevaluierungsstatus",$B28,"-2",BL_FactSheet_Bundesland,"-2","Alle","-2","anzahl_beteiligungen")</f>
        <v>0</v>
      </c>
      <c r="I28" s="87">
        <f ca="1">_xll.PALO.DATAC("jedoxtest/EU_PM_CUBE02","EUPM_Mittel2_Cube",$C$62,"Alle Beteiligungen","Alle Koordinatoren","Alle Unternehmensgrößen","-2","Alle Organisationstypen",28,"Alle Expertevaluierungsstatus",$B28,"-2",BL_FactSheet_Bundesland,"-2","Alle","-2","anzahl_beteiligungen")</f>
        <v>0</v>
      </c>
      <c r="J28" s="86">
        <f ca="1">_xll.PALO.DATAC("jedoxtest/EU_PM_CUBE02","EUPM_Mittel2_Cube",$C$62,"Alle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ht="15" customHeight="1">
      <c r="C35" s="98" t="s">
        <v>1</v>
      </c>
      <c r="D35" s="99" t="s">
        <v>46</v>
      </c>
      <c r="E35" s="100" t="s">
        <v>3</v>
      </c>
    </row>
    <row r="36" spans="1:256" s="72" customFormat="1" ht="15" customHeight="1">
      <c r="A36" s="80"/>
      <c r="B36" s="80"/>
      <c r="C36" s="101">
        <f ca="1">_xll.PALO.DATAC("jedoxtest/EU_PM_CUBE02","EUPM_Mittel2_Cube",$C$62,"Alle Beteiligungen","Alle Koordinatoren","Alle Unternehmensgrößen","-2","Alle Organisationstypen",28,"Alle Expertevaluierungsstatus","-2","-2",BL_FactSheet_Bundesland,"-2","Alle","-2","anzahl_beteiligungen")</f>
        <v>3919</v>
      </c>
      <c r="D36" s="101" t="str">
        <f ca="1">TEXT(_xll.PALO.DATAC("jedoxtest/EU_PM_CUBE02","EUPM_Mittel2_Cube",$C$62,"Alle Beteiligungen","Alle Koordinatoren","Alle Unternehmensgrößen","-2","Alle Organisationstypen",28,"Alle Expertevaluierungsstatus","-2","-2",BL_FactSheet_Bundesland,"-2","Alle","-2","foerderung"),"#.##0,0..")&amp;" Mio. €"</f>
        <v>1.856,2 Mio. €</v>
      </c>
      <c r="E36" s="101">
        <f ca="1">_xll.PALO.DATAC("jedoxtest/EU_PM_CUBE02","EUPM_Mittel2_Cube",$C$62,"Alle Beteiligungen","Alle Koordinatoren","Alle Unternehmensgrößen","-2","Alle Organisationstypen",28,"Alle Expertevaluierungsstatus","-2","-2",BL_FactSheet_Bundesland,"-2","Alle","-2","anzahl_koordinatoren")</f>
        <v>774</v>
      </c>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s="72" customFormat="1" ht="15" customHeight="1">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spans="1:256" ht="15" customHeight="1">
      <c r="C38" s="747" t="str">
        <f>UPPER("Top Player mit Vertrag in Horizon Europe")</f>
        <v>TOP PLAYER MIT VERTRAG IN HORIZON EUROPE</v>
      </c>
      <c r="D38" s="747"/>
      <c r="E38" s="747"/>
    </row>
    <row r="39" spans="1:256" s="72" customFormat="1" ht="15" customHeight="1">
      <c r="A39" s="80"/>
      <c r="B39" s="80"/>
      <c r="C39" s="353" t="s">
        <v>199</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353" t="s">
        <v>246</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353" t="s">
        <v>200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353" t="s">
        <v>203</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t="s">
        <v>12</v>
      </c>
      <c r="C43" s="353" t="s">
        <v>320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s="72" customFormat="1" ht="15" customHeight="1">
      <c r="A44" s="80"/>
      <c r="B44" s="80"/>
      <c r="C44" s="353"/>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row>
    <row r="45" spans="1:256" s="72" customFormat="1" ht="15" customHeight="1">
      <c r="A45" s="80"/>
      <c r="B45" s="80"/>
      <c r="C45" s="353"/>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ht="15" customHeight="1">
      <c r="C48" s="102" t="s">
        <v>405</v>
      </c>
      <c r="D48" s="103" t="s">
        <v>406</v>
      </c>
      <c r="E48" s="104" t="s">
        <v>407</v>
      </c>
    </row>
    <row r="49" spans="1:256" s="72" customFormat="1" ht="15" customHeight="1">
      <c r="A49" s="80"/>
      <c r="B49" s="80"/>
      <c r="C49" s="105" t="str">
        <f>TEXT(E69,"#.##0..")&amp;" Mio. €"</f>
        <v>473.227 Mio. €</v>
      </c>
      <c r="D49" s="105" t="str">
        <f>TEXT(F69,"#.##0..")&amp;" Mio. €"</f>
        <v>15.404 Mio. €</v>
      </c>
      <c r="E49" s="106">
        <f>G69</f>
        <v>3.2551678158684941E-2</v>
      </c>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4" customFormat="1" ht="15" customHeight="1"/>
    <row r="51" spans="1:256" customFormat="1"/>
    <row r="52" spans="1:256" s="74" customFormat="1" ht="15" customHeight="1">
      <c r="C52" s="740" t="str">
        <f ca="1">"Quelle HEU: EC "&amp;_xll.PALO.DATA("jedoxtest/EU_PM_CUBE02","#_Datenstand","reference_month",$C$62)&amp;"/"&amp;_xll.PALO.DATA("jedoxtest/EU_PM_CUBE02","#_Datenstand","reference_year",$C$62)</f>
        <v>Quelle HEU: EC 5/2026</v>
      </c>
      <c r="D52" s="740"/>
      <c r="E52" s="740"/>
      <c r="F52" s="740"/>
      <c r="G52" s="740"/>
      <c r="H52" s="740"/>
      <c r="I52" s="740"/>
      <c r="J52" s="740"/>
    </row>
    <row r="53" spans="1:256" s="74" customFormat="1" ht="15" customHeight="1">
      <c r="C53" s="740" t="s">
        <v>73</v>
      </c>
      <c r="D53" s="740"/>
      <c r="E53" s="740"/>
      <c r="F53" s="740"/>
      <c r="G53" s="740"/>
      <c r="H53" s="740"/>
      <c r="I53" s="740"/>
      <c r="J53" s="740"/>
    </row>
    <row r="54" spans="1:256" s="74" customFormat="1" ht="15" customHeight="1">
      <c r="C54" s="89"/>
      <c r="D54" s="89"/>
      <c r="E54" s="89"/>
      <c r="F54" s="89"/>
      <c r="G54" s="89"/>
      <c r="H54" s="89"/>
      <c r="I54" s="89"/>
      <c r="J54" s="310" t="s">
        <v>136</v>
      </c>
    </row>
    <row r="55" spans="1:256" s="72" customFormat="1">
      <c r="A55" s="80"/>
      <c r="B55" s="80"/>
      <c r="C55" s="90"/>
      <c r="D55" s="90"/>
      <c r="E55" s="90"/>
      <c r="F55" s="90"/>
      <c r="G55" s="90"/>
      <c r="H55" s="90"/>
      <c r="I55" s="90"/>
      <c r="J55" s="9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0"/>
      <c r="GG55" s="80"/>
      <c r="GH55" s="80"/>
      <c r="GI55" s="80"/>
      <c r="GJ55" s="80"/>
      <c r="GK55" s="80"/>
      <c r="GL55" s="80"/>
      <c r="GM55" s="80"/>
      <c r="GN55" s="80"/>
      <c r="GO55" s="80"/>
      <c r="GP55" s="80"/>
      <c r="GQ55" s="80"/>
      <c r="GR55" s="80"/>
      <c r="GS55" s="80"/>
      <c r="GT55" s="80"/>
      <c r="GU55" s="80"/>
      <c r="GV55" s="80"/>
      <c r="GW55" s="80"/>
      <c r="GX55" s="80"/>
      <c r="GY55" s="80"/>
      <c r="GZ55" s="80"/>
      <c r="HA55" s="80"/>
      <c r="HB55" s="80"/>
      <c r="HC55" s="80"/>
      <c r="HD55" s="80"/>
      <c r="HE55" s="80"/>
      <c r="HF55" s="80"/>
      <c r="HG55" s="80"/>
      <c r="HH55" s="80"/>
      <c r="HI55" s="80"/>
      <c r="HJ55" s="80"/>
      <c r="HK55" s="80"/>
      <c r="HL55" s="80"/>
      <c r="HM55" s="80"/>
      <c r="HN55" s="80"/>
      <c r="HO55" s="80"/>
      <c r="HP55" s="80"/>
      <c r="HQ55" s="80"/>
      <c r="HR55" s="80"/>
      <c r="HS55" s="80"/>
      <c r="HT55" s="80"/>
      <c r="HU55" s="80"/>
      <c r="HV55" s="80"/>
      <c r="HW55" s="80"/>
      <c r="HX55" s="80"/>
      <c r="HY55" s="80"/>
      <c r="HZ55" s="80"/>
      <c r="IA55" s="80"/>
      <c r="IB55" s="80"/>
      <c r="IC55" s="80"/>
      <c r="ID55" s="80"/>
      <c r="IE55" s="80"/>
      <c r="IF55" s="80"/>
      <c r="IG55" s="80"/>
      <c r="IH55" s="80"/>
      <c r="II55" s="80"/>
      <c r="IJ55" s="80"/>
      <c r="IK55" s="80"/>
      <c r="IL55" s="80"/>
      <c r="IM55" s="80"/>
      <c r="IN55" s="80"/>
      <c r="IO55" s="80"/>
      <c r="IP55" s="80"/>
      <c r="IQ55" s="80"/>
      <c r="IR55" s="80"/>
      <c r="IS55" s="80"/>
      <c r="IT55" s="80"/>
      <c r="IU55" s="80"/>
      <c r="IV55" s="80"/>
    </row>
    <row r="56" spans="1:256">
      <c r="C56" s="744" t="str">
        <f ca="1">_xll.PALO.DATA("jedoxtest/EU_PM_CUBE02","#_Staatengruppen_und_NUTS","Langbezeichnung",BL_FactSheet_Bundesland)&amp;": Beteiligungen nach Organisationstyp"</f>
        <v>Österreich: Beteiligungen nach Organisationstyp</v>
      </c>
      <c r="D56" s="744"/>
      <c r="E56" s="744"/>
      <c r="F56" s="90"/>
      <c r="G56" s="90"/>
      <c r="H56" s="90"/>
      <c r="I56" s="90"/>
      <c r="J56" s="90"/>
    </row>
    <row r="57" spans="1:256">
      <c r="C57" s="91">
        <v>1</v>
      </c>
      <c r="D57" s="92" t="str">
        <f ca="1">_xll.PALO.DATAC("jedoxtest/EU_PM_CUBE02","#_Organisationstyp","Bezeichnung",C57)</f>
        <v>HES</v>
      </c>
      <c r="E57" s="91">
        <f ca="1">_xll.PALO.DATAC("jedoxtest/EU_PM_CUBE02","EUPM_Mittel2_Cube",$C$62,"Alle Beteiligungen","Alle Koordinatoren","Alle Unternehmensgrößen","-2",$C57,28,"Alle Expertevaluierungsstatus","-2","-2",BL_FactSheet_Bundesland,"-2","Alle","-2","anzahl_beteiligungen")</f>
        <v>1365</v>
      </c>
      <c r="F57" s="93">
        <f ca="1">_xll.PALO.DATAC("jedoxtest/EU_PM_CUBE02","EUPM_Mittel2_Cube",$C$62,"Alle Beteiligungen","Alle Koordinatoren","Alle Unternehmensgrößen","-2",$C57,28,"Alle Expertevaluierungsstatus","-2","-2",BL_FactSheet_Bundesland,"-2","Alle","-2","anzahl_beteiligungen")/$C$36*100</f>
        <v>34.830313855575397</v>
      </c>
      <c r="G57" s="90"/>
      <c r="H57" s="90"/>
      <c r="I57" s="90"/>
      <c r="J57" s="90"/>
    </row>
    <row r="58" spans="1:256">
      <c r="C58" s="91">
        <v>2</v>
      </c>
      <c r="D58" s="92" t="str">
        <f ca="1">_xll.PALO.DATAC("jedoxtest/EU_PM_CUBE02","#_Organisationstyp","Bezeichnung",C58)</f>
        <v>PRC</v>
      </c>
      <c r="E58" s="91">
        <f ca="1">_xll.PALO.DATAC("jedoxtest/EU_PM_CUBE02","EUPM_Mittel2_Cube",$C$62,"Alle Beteiligungen","Alle Koordinatoren","Alle Unternehmensgrößen","-2",$C58,28,"Alle Expertevaluierungsstatus","-2","-2",BL_FactSheet_Bundesland,"-2","Alle","-2","anzahl_beteiligungen")</f>
        <v>1138</v>
      </c>
      <c r="F58" s="93">
        <f ca="1">_xll.PALO.DATAC("jedoxtest/EU_PM_CUBE02","EUPM_Mittel2_Cube",$C$62,"Alle Beteiligungen","Alle Koordinatoren","Alle Unternehmensgrößen","-2",$C58,28,"Alle Expertevaluierungsstatus","-2","-2",BL_FactSheet_Bundesland,"-2","Alle","-2","anzahl_beteiligungen")/$C$36*100</f>
        <v>29.038019903036489</v>
      </c>
      <c r="G58" s="90"/>
      <c r="H58" s="90"/>
      <c r="I58" s="90"/>
      <c r="J58" s="90"/>
    </row>
    <row r="59" spans="1:256">
      <c r="C59" s="91">
        <v>5</v>
      </c>
      <c r="D59" s="92" t="str">
        <f ca="1">_xll.PALO.DATAC("jedoxtest/EU_PM_CUBE02","#_Organisationstyp","Bezeichnung",C59)</f>
        <v>REC</v>
      </c>
      <c r="E59" s="91">
        <f ca="1">_xll.PALO.DATAC("jedoxtest/EU_PM_CUBE02","EUPM_Mittel2_Cube",$C$62,"Alle Beteiligungen","Alle Koordinatoren","Alle Unternehmensgrößen","-2",$C59,28,"Alle Expertevaluierungsstatus","-2","-2",BL_FactSheet_Bundesland,"-2","Alle","-2","anzahl_beteiligungen")</f>
        <v>1041</v>
      </c>
      <c r="F59" s="93">
        <f ca="1">_xll.PALO.DATAC("jedoxtest/EU_PM_CUBE02","EUPM_Mittel2_Cube",$C$62,"Alle Beteiligungen","Alle Koordinatoren","Alle Unternehmensgrößen","-2",$C59,28,"Alle Expertevaluierungsstatus","-2","-2",BL_FactSheet_Bundesland,"-2","Alle","-2","anzahl_beteiligungen")/$C$36*100</f>
        <v>26.562898698647615</v>
      </c>
      <c r="G59" s="90"/>
      <c r="H59" s="90"/>
      <c r="I59" s="90"/>
      <c r="J59" s="90"/>
    </row>
    <row r="60" spans="1:256">
      <c r="C60" s="91">
        <v>4</v>
      </c>
      <c r="D60" s="92" t="str">
        <f ca="1">_xll.PALO.DATAC("jedoxtest/EU_PM_CUBE02","#_Organisationstyp","Bezeichnung",C60)</f>
        <v>PUB</v>
      </c>
      <c r="E60" s="91">
        <f ca="1">_xll.PALO.DATAC("jedoxtest/EU_PM_CUBE02","EUPM_Mittel2_Cube",$C$62,"Alle Beteiligungen","Alle Koordinatoren","Alle Unternehmensgrößen","-2",$C60,28,"Alle Expertevaluierungsstatus","-2","-2",BL_FactSheet_Bundesland,"-2","Alle","-2","anzahl_beteiligungen")</f>
        <v>122</v>
      </c>
      <c r="F60" s="93">
        <f ca="1">_xll.PALO.DATAC("jedoxtest/EU_PM_CUBE02","EUPM_Mittel2_Cube",$C$62,"Alle Beteiligungen","Alle Koordinatoren","Alle Unternehmensgrößen","-2",$C60,28,"Alle Expertevaluierungsstatus","-2","-2",BL_FactSheet_Bundesland,"-2","Alle","-2","anzahl_beteiligungen")/$C$36*100</f>
        <v>3.1130390405715742</v>
      </c>
      <c r="G60" s="90"/>
      <c r="H60" s="90"/>
      <c r="I60" s="90"/>
      <c r="J60" s="90"/>
    </row>
    <row r="61" spans="1:256">
      <c r="C61" s="91">
        <v>3</v>
      </c>
      <c r="D61" s="92" t="str">
        <f ca="1">_xll.PALO.DATAC("jedoxtest/EU_PM_CUBE02","#_Organisationstyp","Bezeichnung",C61)</f>
        <v>OTH</v>
      </c>
      <c r="E61" s="91">
        <f ca="1">_xll.PALO.DATAC("jedoxtest/EU_PM_CUBE02","EUPM_Mittel2_Cube",$C$62,"Alle Beteiligungen","Alle Koordinatoren","Alle Unternehmensgrößen","-2",$C61,28,"Alle Expertevaluierungsstatus","-2","-2",BL_FactSheet_Bundesland,"-2","Alle","-2","anzahl_beteiligungen")</f>
        <v>253</v>
      </c>
      <c r="F61" s="93">
        <f ca="1">_xll.PALO.DATAC("jedoxtest/EU_PM_CUBE02","EUPM_Mittel2_Cube",$C$62,"Alle Beteiligungen","Alle Koordinatoren","Alle Unternehmensgrößen","-2",$C61,28,"Alle Expertevaluierungsstatus","-2","-2",BL_FactSheet_Bundesland,"-2","Alle","-2","anzahl_beteiligungen")/$C$36*100</f>
        <v>6.4557285021689212</v>
      </c>
      <c r="G61" s="90"/>
      <c r="H61" s="90"/>
      <c r="I61" s="90"/>
      <c r="J61" s="90"/>
    </row>
    <row r="62" spans="1:256">
      <c r="C62" s="92" t="str">
        <f ca="1">_xll.PALO.ENAME("jedoxtest/EU_PM_CUBE02","Datenstand",3)</f>
        <v>117</v>
      </c>
      <c r="D62" s="91">
        <v>1</v>
      </c>
      <c r="E62" s="92"/>
      <c r="F62" s="90"/>
      <c r="G62" s="90"/>
      <c r="H62" s="90"/>
      <c r="I62" s="90"/>
      <c r="J62" s="90"/>
    </row>
    <row r="63" spans="1:256">
      <c r="D63" s="337"/>
    </row>
    <row r="67" spans="3:16" ht="15" customHeight="1">
      <c r="E67" s="88" t="s">
        <v>349</v>
      </c>
    </row>
    <row r="68" spans="3:16" ht="15" customHeight="1">
      <c r="C68" s="61"/>
      <c r="D68" s="61"/>
      <c r="E68" s="94" t="str">
        <f>E71</f>
        <v>BRP 2023</v>
      </c>
      <c r="F68" s="94" t="str">
        <f t="shared" ref="F68:G68" si="3">F71</f>
        <v>F&amp;E Ausgaben 2023</v>
      </c>
      <c r="G68" s="94" t="str">
        <f t="shared" si="3"/>
        <v>Quote</v>
      </c>
    </row>
    <row r="69" spans="3:16" ht="15" customHeight="1">
      <c r="C69" s="61">
        <v>1</v>
      </c>
      <c r="D69" s="61" t="s">
        <v>19</v>
      </c>
      <c r="E69" s="94">
        <f t="shared" ref="E69:G69" si="4">E72</f>
        <v>473227000000</v>
      </c>
      <c r="F69" s="94">
        <f t="shared" si="4"/>
        <v>15404333000</v>
      </c>
      <c r="G69" s="94">
        <f t="shared" si="4"/>
        <v>3.2551678158684941E-2</v>
      </c>
    </row>
    <row r="70" spans="3:16" ht="15" customHeight="1">
      <c r="C70" s="61"/>
      <c r="D70" s="61"/>
      <c r="E70" s="95"/>
      <c r="F70" s="97"/>
      <c r="G70" s="96"/>
    </row>
    <row r="71" spans="3:16" ht="15" customHeight="1">
      <c r="C71" s="61"/>
      <c r="D71" s="61"/>
      <c r="E71" s="94" t="s">
        <v>404</v>
      </c>
      <c r="F71" s="97" t="s">
        <v>400</v>
      </c>
      <c r="G71" s="96" t="s">
        <v>137</v>
      </c>
      <c r="M71" s="97" t="s">
        <v>400</v>
      </c>
      <c r="O71" t="s">
        <v>401</v>
      </c>
      <c r="P71" t="s">
        <v>402</v>
      </c>
    </row>
    <row r="72" spans="3:16" ht="15" customHeight="1">
      <c r="C72" s="61">
        <v>1</v>
      </c>
      <c r="D72" s="61" t="s">
        <v>19</v>
      </c>
      <c r="E72" s="688">
        <f>P72*1000000</f>
        <v>473227000000</v>
      </c>
      <c r="F72" s="97">
        <f>M72*1000</f>
        <v>15404333000</v>
      </c>
      <c r="G72" s="96">
        <f>F72/E72</f>
        <v>3.2551678158684941E-2</v>
      </c>
      <c r="L72" s="80" t="s">
        <v>19</v>
      </c>
      <c r="M72" s="88">
        <v>15404333</v>
      </c>
      <c r="O72" t="s">
        <v>19</v>
      </c>
      <c r="P72">
        <v>473227</v>
      </c>
    </row>
    <row r="73" spans="3:16" ht="15" customHeight="1">
      <c r="C73" s="61">
        <v>3</v>
      </c>
      <c r="D73" s="61" t="s">
        <v>64</v>
      </c>
      <c r="E73" s="688">
        <f t="shared" ref="E73:E81" si="5">P73*1000000</f>
        <v>10993000000</v>
      </c>
      <c r="F73" s="97">
        <f t="shared" ref="F73:F81" si="6">M73*1000</f>
        <v>94638000</v>
      </c>
      <c r="G73" s="96">
        <f t="shared" ref="G73:G81" si="7">F73/E73</f>
        <v>8.6089329573364876E-3</v>
      </c>
      <c r="L73" s="80" t="s">
        <v>64</v>
      </c>
      <c r="M73" s="88">
        <v>94638</v>
      </c>
      <c r="O73" t="s">
        <v>64</v>
      </c>
      <c r="P73">
        <v>10993</v>
      </c>
    </row>
    <row r="74" spans="3:16" ht="15" customHeight="1">
      <c r="C74" s="61">
        <v>18</v>
      </c>
      <c r="D74" s="61" t="s">
        <v>65</v>
      </c>
      <c r="E74" s="688">
        <f t="shared" si="5"/>
        <v>26639000000</v>
      </c>
      <c r="F74" s="97">
        <f t="shared" si="6"/>
        <v>995024000</v>
      </c>
      <c r="G74" s="96">
        <f t="shared" si="7"/>
        <v>3.7352152858590788E-2</v>
      </c>
      <c r="L74" s="80" t="s">
        <v>65</v>
      </c>
      <c r="M74" s="88">
        <v>995024</v>
      </c>
      <c r="O74" t="s">
        <v>65</v>
      </c>
      <c r="P74">
        <v>26639</v>
      </c>
    </row>
    <row r="75" spans="3:16">
      <c r="C75" s="61">
        <v>7</v>
      </c>
      <c r="D75" s="61" t="s">
        <v>66</v>
      </c>
      <c r="E75" s="688">
        <f t="shared" si="5"/>
        <v>73205000000</v>
      </c>
      <c r="F75" s="97">
        <f t="shared" si="6"/>
        <v>1254881000</v>
      </c>
      <c r="G75" s="96">
        <f t="shared" si="7"/>
        <v>1.7142012157639507E-2</v>
      </c>
      <c r="L75" s="80" t="s">
        <v>66</v>
      </c>
      <c r="M75" s="88">
        <v>1254881</v>
      </c>
      <c r="O75" t="s">
        <v>66</v>
      </c>
      <c r="P75">
        <v>73205</v>
      </c>
    </row>
    <row r="76" spans="3:16">
      <c r="C76" s="61">
        <v>30</v>
      </c>
      <c r="D76" s="61" t="s">
        <v>67</v>
      </c>
      <c r="E76" s="688">
        <f t="shared" si="5"/>
        <v>81776000000</v>
      </c>
      <c r="F76" s="97">
        <f t="shared" si="6"/>
        <v>2843484000</v>
      </c>
      <c r="G76" s="96">
        <f t="shared" si="7"/>
        <v>3.4771620035218158E-2</v>
      </c>
      <c r="L76" s="80" t="s">
        <v>67</v>
      </c>
      <c r="M76" s="88">
        <v>2843484</v>
      </c>
      <c r="O76" t="s">
        <v>67</v>
      </c>
      <c r="P76">
        <v>81776</v>
      </c>
    </row>
    <row r="77" spans="3:16">
      <c r="C77" s="61">
        <v>36</v>
      </c>
      <c r="D77" s="61" t="s">
        <v>68</v>
      </c>
      <c r="E77" s="688">
        <f t="shared" si="5"/>
        <v>36290000000</v>
      </c>
      <c r="F77" s="97">
        <f t="shared" si="6"/>
        <v>534856000</v>
      </c>
      <c r="G77" s="96">
        <f t="shared" si="7"/>
        <v>1.4738385230090934E-2</v>
      </c>
      <c r="L77" s="80" t="s">
        <v>68</v>
      </c>
      <c r="M77" s="88">
        <v>534856</v>
      </c>
      <c r="O77" t="s">
        <v>68</v>
      </c>
      <c r="P77">
        <v>36290</v>
      </c>
    </row>
    <row r="78" spans="3:16">
      <c r="C78" s="61">
        <v>22</v>
      </c>
      <c r="D78" s="61" t="s">
        <v>69</v>
      </c>
      <c r="E78" s="688">
        <f t="shared" si="5"/>
        <v>61224000000</v>
      </c>
      <c r="F78" s="97">
        <f t="shared" si="6"/>
        <v>3160778000</v>
      </c>
      <c r="G78" s="96">
        <f t="shared" si="7"/>
        <v>5.1626453678296096E-2</v>
      </c>
      <c r="L78" s="80" t="s">
        <v>69</v>
      </c>
      <c r="M78" s="88">
        <v>3160778</v>
      </c>
      <c r="O78" t="s">
        <v>69</v>
      </c>
      <c r="P78">
        <v>61224</v>
      </c>
    </row>
    <row r="79" spans="3:16">
      <c r="C79" s="61">
        <v>40</v>
      </c>
      <c r="D79" s="61" t="s">
        <v>70</v>
      </c>
      <c r="E79" s="688">
        <f t="shared" si="5"/>
        <v>41953000000</v>
      </c>
      <c r="F79" s="97">
        <f t="shared" si="6"/>
        <v>1251775000</v>
      </c>
      <c r="G79" s="96">
        <f t="shared" si="7"/>
        <v>2.9837556313016947E-2</v>
      </c>
      <c r="L79" s="80" t="s">
        <v>70</v>
      </c>
      <c r="M79" s="88">
        <v>1251775</v>
      </c>
      <c r="O79" t="s">
        <v>70</v>
      </c>
      <c r="P79">
        <v>41953</v>
      </c>
    </row>
    <row r="80" spans="3:16">
      <c r="C80" s="61">
        <v>46</v>
      </c>
      <c r="D80" s="61" t="s">
        <v>71</v>
      </c>
      <c r="E80" s="688">
        <f t="shared" si="5"/>
        <v>22305000000</v>
      </c>
      <c r="F80" s="97">
        <f t="shared" si="6"/>
        <v>437135000</v>
      </c>
      <c r="G80" s="96">
        <f t="shared" si="7"/>
        <v>1.9598072181125307E-2</v>
      </c>
      <c r="L80" s="80" t="s">
        <v>71</v>
      </c>
      <c r="M80" s="88">
        <v>437135</v>
      </c>
      <c r="O80" t="s">
        <v>71</v>
      </c>
      <c r="P80">
        <v>22305</v>
      </c>
    </row>
    <row r="81" spans="3:16">
      <c r="C81" s="61">
        <v>15</v>
      </c>
      <c r="D81" s="61" t="s">
        <v>72</v>
      </c>
      <c r="E81" s="688">
        <f t="shared" si="5"/>
        <v>118680000000</v>
      </c>
      <c r="F81" s="97">
        <f t="shared" si="6"/>
        <v>4831762000</v>
      </c>
      <c r="G81" s="96">
        <f t="shared" si="7"/>
        <v>4.0712521065048871E-2</v>
      </c>
      <c r="L81" s="80" t="s">
        <v>72</v>
      </c>
      <c r="M81" s="88">
        <v>4831762</v>
      </c>
      <c r="O81" t="s">
        <v>72</v>
      </c>
      <c r="P81">
        <v>118680</v>
      </c>
    </row>
    <row r="82" spans="3:16">
      <c r="C82" s="61"/>
      <c r="D82" s="61"/>
      <c r="E82" s="61"/>
      <c r="F82" s="35"/>
      <c r="G82" s="35"/>
    </row>
    <row r="84" spans="3:16">
      <c r="O84" t="s">
        <v>403</v>
      </c>
      <c r="P84">
        <v>161</v>
      </c>
    </row>
  </sheetData>
  <sortState xmlns:xlrd2="http://schemas.microsoft.com/office/spreadsheetml/2017/richdata2" ref="O73:P82">
    <sortCondition ref="O72:O82"/>
  </sortState>
  <mergeCells count="5">
    <mergeCell ref="C53:J53"/>
    <mergeCell ref="C56:E56"/>
    <mergeCell ref="C5:J5"/>
    <mergeCell ref="C38:E38"/>
    <mergeCell ref="C52:J52"/>
  </mergeCells>
  <conditionalFormatting sqref="C36:E36">
    <cfRule type="expression" dxfId="86" priority="200">
      <formula>$D36=2</formula>
    </cfRule>
  </conditionalFormatting>
  <conditionalFormatting sqref="F10:F12 F14:F19 F21:F23 F25:F26 F28:F31">
    <cfRule type="expression" dxfId="85" priority="206">
      <formula>$B9=2</formula>
    </cfRule>
  </conditionalFormatting>
  <conditionalFormatting sqref="F10:F31">
    <cfRule type="expression" dxfId="84" priority="39">
      <formula>$B10=2</formula>
    </cfRule>
  </conditionalFormatting>
  <conditionalFormatting sqref="F13 F20 F24">
    <cfRule type="expression" dxfId="83" priority="268">
      <formula>#REF!=2</formula>
    </cfRule>
  </conditionalFormatting>
  <conditionalFormatting sqref="F27">
    <cfRule type="expression" dxfId="82" priority="274">
      <formula>#REF!=2</formula>
    </cfRule>
  </conditionalFormatting>
  <conditionalFormatting sqref="H10:J31">
    <cfRule type="expression" dxfId="81" priority="43">
      <formula>$B10=2</formula>
    </cfRule>
  </conditionalFormatting>
  <pageMargins left="0.70866141732283472" right="0.70866141732283472" top="0.74803149606299213" bottom="0.74803149606299213" header="0.31496062992125984" footer="0.31496062992125984"/>
  <pageSetup paperSize="9" scale="68"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48"/>
  <sheetViews>
    <sheetView view="pageBreakPreview" zoomScale="60" zoomScaleNormal="100" workbookViewId="0">
      <selection activeCell="B11" sqref="B11"/>
    </sheetView>
  </sheetViews>
  <sheetFormatPr baseColWidth="10" defaultColWidth="11.42578125" defaultRowHeight="15"/>
  <cols>
    <col min="1" max="1" width="4.140625" style="17" customWidth="1"/>
    <col min="2" max="2" width="63.42578125" style="17" customWidth="1"/>
    <col min="3" max="3" width="27.7109375" style="17" customWidth="1"/>
    <col min="4" max="4" width="24.5703125" style="17" customWidth="1"/>
    <col min="5" max="7" width="11.42578125" style="18"/>
    <col min="8" max="8" width="11.5703125" style="18" bestFit="1" customWidth="1"/>
    <col min="9" max="9" width="12" style="18" bestFit="1" customWidth="1"/>
    <col min="10" max="10" width="11.5703125" style="18" bestFit="1" customWidth="1"/>
    <col min="11" max="11" width="11.7109375" style="18" bestFit="1" customWidth="1"/>
    <col min="12" max="12" width="12.5703125" style="18" bestFit="1" customWidth="1"/>
    <col min="13" max="13" width="15.140625" style="17" customWidth="1"/>
    <col min="14" max="14" width="11.5703125" style="17" bestFit="1" customWidth="1"/>
    <col min="15" max="16384" width="11.42578125" style="17"/>
  </cols>
  <sheetData>
    <row r="1" spans="1:14" ht="15" customHeight="1"/>
    <row r="2" spans="1:14" ht="15" customHeight="1"/>
    <row r="3" spans="1:14" ht="15" customHeight="1"/>
    <row r="4" spans="1:14" ht="72" customHeight="1">
      <c r="C4" s="266"/>
    </row>
    <row r="6" spans="1:14" ht="15" customHeight="1">
      <c r="F6" s="277"/>
    </row>
    <row r="7" spans="1:14" ht="15" customHeight="1">
      <c r="K7" s="17"/>
    </row>
    <row r="8" spans="1:14" ht="39" customHeight="1">
      <c r="B8" s="273"/>
      <c r="C8" s="160"/>
      <c r="H8"/>
      <c r="I8"/>
      <c r="J8"/>
      <c r="K8" s="17"/>
    </row>
    <row r="9" spans="1:14" ht="24.75" customHeight="1">
      <c r="C9" s="19"/>
      <c r="H9"/>
      <c r="I9"/>
      <c r="J9"/>
    </row>
    <row r="10" spans="1:14" ht="24.75" customHeight="1">
      <c r="B10" s="20"/>
      <c r="C10" s="20"/>
      <c r="H10"/>
      <c r="I10"/>
      <c r="J10"/>
    </row>
    <row r="11" spans="1:14" s="18" customFormat="1" ht="19.5" customHeight="1" thickBot="1">
      <c r="A11" s="17"/>
      <c r="B11" s="271"/>
      <c r="C11" s="32"/>
      <c r="D11" s="17"/>
      <c r="H11"/>
      <c r="I11"/>
      <c r="J11"/>
      <c r="M11" s="17"/>
      <c r="N11" s="17"/>
    </row>
    <row r="12" spans="1:14" s="18" customFormat="1" ht="24.75" customHeight="1">
      <c r="A12" s="17"/>
      <c r="B12" s="268"/>
      <c r="C12" s="254"/>
      <c r="D12" s="17"/>
      <c r="H12"/>
      <c r="I12"/>
      <c r="J12"/>
      <c r="M12" s="17"/>
      <c r="N12" s="17"/>
    </row>
    <row r="13" spans="1:14" s="18" customFormat="1" ht="18.75" customHeight="1" thickBot="1">
      <c r="A13" s="17"/>
      <c r="B13" s="33"/>
      <c r="C13" s="255"/>
      <c r="D13" s="17"/>
      <c r="H13"/>
      <c r="I13"/>
      <c r="J13"/>
      <c r="M13" s="17"/>
      <c r="N13" s="17"/>
    </row>
    <row r="14" spans="1:14" ht="48" customHeight="1">
      <c r="B14" s="272"/>
      <c r="C14" s="32"/>
      <c r="H14"/>
      <c r="I14"/>
      <c r="J14"/>
    </row>
    <row r="15" spans="1:14">
      <c r="B15" s="270"/>
      <c r="C15" s="32"/>
      <c r="H15"/>
      <c r="I15"/>
      <c r="J15"/>
      <c r="K15"/>
      <c r="M15" s="308"/>
      <c r="N15" s="309"/>
    </row>
    <row r="16" spans="1:14">
      <c r="B16" s="270"/>
      <c r="C16" s="32"/>
      <c r="H16"/>
      <c r="I16"/>
      <c r="J16"/>
      <c r="K16"/>
      <c r="M16" s="308"/>
      <c r="N16" s="309"/>
    </row>
    <row r="17" spans="2:14">
      <c r="B17" s="270"/>
      <c r="C17" s="32"/>
      <c r="H17"/>
      <c r="I17"/>
      <c r="J17"/>
      <c r="K17"/>
      <c r="M17" s="308"/>
      <c r="N17" s="309"/>
    </row>
    <row r="18" spans="2:14">
      <c r="B18" s="20"/>
      <c r="C18" s="31"/>
      <c r="H18"/>
      <c r="I18"/>
      <c r="J18"/>
      <c r="K18"/>
      <c r="M18" s="308"/>
      <c r="N18" s="309"/>
    </row>
    <row r="19" spans="2:14" ht="23.25">
      <c r="B19" s="269"/>
      <c r="C19" s="256"/>
      <c r="H19"/>
      <c r="I19"/>
      <c r="J19"/>
      <c r="K19"/>
      <c r="M19" s="308"/>
      <c r="N19" s="309"/>
    </row>
    <row r="20" spans="2:14" ht="25.5" customHeight="1" thickBot="1">
      <c r="B20" s="271"/>
      <c r="C20" s="256"/>
      <c r="E20" s="24"/>
      <c r="H20"/>
      <c r="I20"/>
      <c r="J20"/>
      <c r="K20"/>
      <c r="M20" s="308"/>
      <c r="N20" s="309"/>
    </row>
    <row r="21" spans="2:14">
      <c r="B21" s="25"/>
      <c r="C21" s="21"/>
      <c r="K21"/>
      <c r="M21" s="308"/>
      <c r="N21" s="309"/>
    </row>
    <row r="22" spans="2:14" ht="23.25">
      <c r="B22" s="269"/>
      <c r="C22" s="21"/>
      <c r="K22"/>
      <c r="M22" s="308"/>
      <c r="N22" s="309"/>
    </row>
    <row r="23" spans="2:14" ht="50.25" customHeight="1">
      <c r="B23" s="270"/>
      <c r="C23" s="20"/>
      <c r="K23"/>
      <c r="M23" s="308"/>
      <c r="N23" s="309"/>
    </row>
    <row r="24" spans="2:14">
      <c r="B24" s="20"/>
      <c r="C24" s="20"/>
      <c r="K24"/>
      <c r="M24" s="308"/>
      <c r="N24" s="309"/>
    </row>
    <row r="25" spans="2:14" ht="18.75">
      <c r="B25" s="159"/>
      <c r="C25" s="159"/>
    </row>
    <row r="26" spans="2:14">
      <c r="B26" s="20"/>
      <c r="C26" s="26"/>
    </row>
    <row r="27" spans="2:14">
      <c r="B27" s="25"/>
      <c r="C27" s="23"/>
    </row>
    <row r="28" spans="2:14" ht="23.25">
      <c r="B28" s="27"/>
      <c r="C28" s="253"/>
      <c r="H28" s="308"/>
      <c r="I28" s="308"/>
      <c r="J28" s="277"/>
      <c r="M28" s="18"/>
      <c r="N28" s="18"/>
    </row>
    <row r="29" spans="2:14">
      <c r="B29" s="30"/>
      <c r="C29" s="253"/>
      <c r="H29" s="308"/>
      <c r="I29" s="308"/>
      <c r="J29" s="277"/>
    </row>
    <row r="30" spans="2:14">
      <c r="B30" s="20"/>
      <c r="C30" s="21"/>
    </row>
    <row r="31" spans="2:14" ht="18.75">
      <c r="B31" s="275"/>
      <c r="C31" s="21"/>
    </row>
    <row r="32" spans="2:14" ht="57.75" customHeight="1">
      <c r="B32" s="276"/>
      <c r="C32" s="272"/>
    </row>
    <row r="33" spans="1:14">
      <c r="B33" s="20"/>
      <c r="C33" s="272"/>
    </row>
    <row r="34" spans="1:14">
      <c r="B34" s="25"/>
      <c r="C34" s="272"/>
    </row>
    <row r="35" spans="1:14" ht="23.25">
      <c r="B35" s="28"/>
      <c r="C35" s="272"/>
    </row>
    <row r="36" spans="1:14">
      <c r="B36" s="30"/>
      <c r="C36" s="272"/>
    </row>
    <row r="37" spans="1:14">
      <c r="B37" s="20"/>
      <c r="C37" s="272"/>
    </row>
    <row r="38" spans="1:14" ht="15.75" thickBot="1">
      <c r="B38" s="22"/>
      <c r="C38" s="272"/>
    </row>
    <row r="39" spans="1:14" ht="15" customHeight="1">
      <c r="B39" s="25"/>
      <c r="C39" s="272"/>
    </row>
    <row r="40" spans="1:14" ht="14.25" customHeight="1">
      <c r="B40" s="25"/>
      <c r="C40" s="272"/>
    </row>
    <row r="41" spans="1:14" ht="14.25" hidden="1" customHeight="1">
      <c r="B41" s="27"/>
      <c r="C41" s="272"/>
      <c r="M41" s="18"/>
    </row>
    <row r="42" spans="1:14" ht="14.25" hidden="1" customHeight="1">
      <c r="A42"/>
      <c r="B42"/>
      <c r="C42" s="272"/>
      <c r="M42" s="18"/>
    </row>
    <row r="43" spans="1:14">
      <c r="A43"/>
      <c r="B43"/>
      <c r="C43" s="272"/>
    </row>
    <row r="44" spans="1:14">
      <c r="A44"/>
      <c r="B44"/>
      <c r="C44" s="272"/>
      <c r="M44" s="18"/>
    </row>
    <row r="45" spans="1:14">
      <c r="A45"/>
      <c r="B45"/>
      <c r="C45" s="272"/>
      <c r="H45" s="29"/>
      <c r="I45" s="29"/>
      <c r="J45" s="29"/>
      <c r="K45" s="29"/>
      <c r="L45" s="29"/>
      <c r="M45" s="29"/>
    </row>
    <row r="46" spans="1:14" ht="14.25" customHeight="1">
      <c r="A46"/>
      <c r="B46"/>
      <c r="C46"/>
      <c r="H46" s="29"/>
      <c r="I46" s="29"/>
      <c r="J46" s="29"/>
      <c r="K46" s="29"/>
      <c r="L46" s="29"/>
      <c r="M46" s="29"/>
    </row>
    <row r="47" spans="1:14">
      <c r="A47"/>
      <c r="B47"/>
      <c r="C47"/>
    </row>
    <row r="48" spans="1:14" ht="24" customHeight="1">
      <c r="A48"/>
      <c r="B48"/>
      <c r="C48"/>
      <c r="M48" s="18"/>
      <c r="N48" s="18"/>
    </row>
  </sheetData>
  <pageMargins left="0.70866141732283472" right="0.70866141732283472" top="0.74803149606299213" bottom="0.74803149606299213" header="0.31496062992125984" footer="0.31496062992125984"/>
  <pageSetup paperSize="9" scale="91" fitToHeight="2" orientation="portrait" r:id="rId1"/>
  <headerFooter>
    <oddFooter>&amp;L&amp;"Calibri Light,Standard"&amp;7&amp;KA6A6A6Österreichische Forschungsförderungsgesellschaft mbH
Sensengasse 1, A-1090 Wien&amp;C&amp;"Calibri Light,Standard"&amp;7&amp;KA6A6A6EU-PM
&amp;D&amp;R&amp;"Calibri Light,Standard"&amp;7&amp;KA6A6A6Seite &amp;P von &amp;N</oddFooter>
  </headerFooter>
  <rowBreaks count="1" manualBreakCount="1">
    <brk id="7" min="1"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tabColor rgb="FF92D050"/>
    <pageSetUpPr fitToPage="1"/>
  </sheetPr>
  <dimension ref="A1:IV84"/>
  <sheetViews>
    <sheetView topLeftCell="A56" zoomScaleNormal="100" workbookViewId="0">
      <selection activeCell="D52" sqref="D52"/>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"&amp;_xll.PALO.DATA("jedoxtest/EU_PM_CUBE02","#_Datenstand","frameworkprog_long",$C$64)</f>
        <v>Burgenland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0</v>
      </c>
      <c r="E10" s="86">
        <f t="shared" ref="E10:E28" ca="1" si="0">IF(I10=0,0,ABS(H10-I10))</f>
        <v>0</v>
      </c>
      <c r="F10" s="86">
        <f ca="1">J10-H10-E10</f>
        <v>0</v>
      </c>
      <c r="G10" s="80"/>
      <c r="H10" s="86">
        <f ca="1">_xll.PALO.DATAC("jedoxtest/EU_PM_CUBE02","EUPM_Mittel2_Cube",$C$64,"Alle Beteiligungen","Alle Koordinatoren","Alle Unternehmensgrößen","-2","Alle Organisationstypen",28,"Alle Expertevaluierungsstatus",$B10,"-2",BL_FactSheet_Bundesland,"-2","Alle","-2","anzahl_beteiligungen")</f>
        <v>0</v>
      </c>
      <c r="I10" s="87">
        <f ca="1">_xll.PALO.DATAC("jedoxtest/EU_PM_CUBE02","EUPM_Mittel2_Cube",$C$64,"Alle Beteiligungen","Alle Koordinatoren","Alle Unternehmensgrößen","-2","Alle Organisationstypen",28,"Alle Expertevaluierungsstatus",$B10,"-2",BL_FactSheet_Bundesland,"-2","Alle","-2","anzahl_beteiligungen")</f>
        <v>0</v>
      </c>
      <c r="J10" s="86">
        <f ca="1">_xll.PALO.DATAC("jedoxtest/EU_PM_CUBE02","EUPM_Mittel2_Cube",$C$64,"Alle Beteiligungen","Alle Koordinatoren","Alle Unternehmensgrößen","-2","Alle Organisationstypen",5,"Alle Expertevaluierungsstatus",$B10,"-2",BL_FactSheet_Bundesland,"-2","Alle","-2","anzahl_beteiligungen")</f>
        <v>0</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0</v>
      </c>
      <c r="E11" s="86">
        <f t="shared" ca="1" si="0"/>
        <v>0</v>
      </c>
      <c r="F11" s="86">
        <f t="shared" ref="F11:F28" ca="1" si="2">J11-H11-E11</f>
        <v>5</v>
      </c>
      <c r="G11" s="80"/>
      <c r="H11" s="86">
        <f ca="1">_xll.PALO.DATAC("jedoxtest/EU_PM_CUBE02","EUPM_Mittel2_Cube",$C$64,"Alle Beteiligungen","Alle Koordinatoren","Alle Unternehmensgrößen","-2","Alle Organisationstypen",28,"Alle Expertevaluierungsstatus",$B11,"-2",BL_FactSheet_Bundesland,"-2","Alle","-2","anzahl_beteiligungen")</f>
        <v>0</v>
      </c>
      <c r="I11" s="87">
        <f ca="1">_xll.PALO.DATAC("jedoxtest/EU_PM_CUBE02","EUPM_Mittel2_Cube",$C$64,"Alle Beteiligungen","Alle Koordinatoren","Alle Unternehmensgrößen","-2","Alle Organisationstypen",28,"Alle Expertevaluierungsstatus",$B11,"-2",BL_FactSheet_Bundesland,"-2","Alle","-2","anzahl_beteiligungen")</f>
        <v>0</v>
      </c>
      <c r="J11" s="86">
        <f ca="1">_xll.PALO.DATAC("jedoxtest/EU_PM_CUBE02","EUPM_Mittel2_Cube",$C$64,"Alle Beteiligungen","Alle Koordinatoren","Alle Unternehmensgrößen","-2","Alle Organisationstypen",5,"Alle Expertevaluierungsstatus",$B11,"-2",BL_FactSheet_Bundesland,"-2","Alle","-2","anzahl_beteiligungen")</f>
        <v>5</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0</v>
      </c>
      <c r="E12" s="86">
        <f t="shared" ca="1" si="0"/>
        <v>0</v>
      </c>
      <c r="F12" s="86">
        <f t="shared" ca="1" si="2"/>
        <v>0</v>
      </c>
      <c r="G12" s="80"/>
      <c r="H12" s="86">
        <f ca="1">_xll.PALO.DATAC("jedoxtest/EU_PM_CUBE02","EUPM_Mittel2_Cube",$C$64,"Alle Beteiligungen","Alle Koordinatoren","Alle Unternehmensgrößen","-2","Alle Organisationstypen",28,"Alle Expertevaluierungsstatus",$B12,"-2",BL_FactSheet_Bundesland,"-2","Alle","-2","anzahl_beteiligungen")</f>
        <v>0</v>
      </c>
      <c r="I12" s="87">
        <f ca="1">_xll.PALO.DATAC("jedoxtest/EU_PM_CUBE02","EUPM_Mittel2_Cube",$C$64,"Alle Beteiligungen","Alle Koordinatoren","Alle Unternehmensgrößen","-2","Alle Organisationstypen",28,"Alle Expertevaluierungsstatus",$B12,"-2",BL_FactSheet_Bundesland,"-2","Alle","-2","anzahl_beteiligungen")</f>
        <v>0</v>
      </c>
      <c r="J12" s="86">
        <f ca="1">_xll.PALO.DATAC("jedoxtest/EU_PM_CUBE02","EUPM_Mittel2_Cube",$C$64,"Alle Beteiligungen","Alle Koordinatoren","Alle Unternehmensgrößen","-2","Alle Organisationstypen",5,"Alle Expertevaluierungsstatus",$B12,"-2",BL_FactSheet_Bundesland,"-2","Alle","-2","anzahl_beteiligungen")</f>
        <v>0</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_xll.PALO.DATAC("jedoxtest/EU_PM_CUBE02","EUPM_Mittel2_Cube",$C$64,"Alle Beteiligungen","Alle Koordinatoren","Alle Unternehmensgrößen","-2","Alle Organisationstypen",28,"Alle Expertevaluierungsstatus",$B13,"-2",BL_FactSheet_Bundesland,"-2","Alle","-2","anzahl_beteiligungen")</f>
        <v/>
      </c>
      <c r="J13" s="86" t="str">
        <f ca="1">_xll.PALO.DATAC("jedoxtest/EU_PM_CUBE02","EUPM_Mittel2_Cube",$C$64,"Alle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0</v>
      </c>
      <c r="E14" s="86">
        <f t="shared" ca="1" si="0"/>
        <v>0</v>
      </c>
      <c r="F14" s="86">
        <f t="shared" ca="1" si="2"/>
        <v>2</v>
      </c>
      <c r="G14" s="80"/>
      <c r="H14" s="86">
        <f ca="1">_xll.PALO.DATAC("jedoxtest/EU_PM_CUBE02","EUPM_Mittel2_Cube",$C$64,"Alle Beteiligungen","Alle Koordinatoren","Alle Unternehmensgrößen","-2","Alle Organisationstypen",28,"Alle Expertevaluierungsstatus",$B14,"-2",BL_FactSheet_Bundesland,"-2","Alle","-2","anzahl_beteiligungen")</f>
        <v>0</v>
      </c>
      <c r="I14" s="87">
        <f ca="1">_xll.PALO.DATAC("jedoxtest/EU_PM_CUBE02","EUPM_Mittel2_Cube",$C$64,"Alle Beteiligungen","Alle Koordinatoren","Alle Unternehmensgrößen","-2","Alle Organisationstypen",28,"Alle Expertevaluierungsstatus",$B14,"-2",BL_FactSheet_Bundesland,"-2","Alle","-2","anzahl_beteiligungen")</f>
        <v>0</v>
      </c>
      <c r="J14" s="86">
        <f ca="1">_xll.PALO.DATAC("jedoxtest/EU_PM_CUBE02","EUPM_Mittel2_Cube",$C$64,"Alle Beteiligungen","Alle Koordinatoren","Alle Unternehmensgrößen","-2","Alle Organisationstypen",5,"Alle Expertevaluierungsstatus",$B14,"-2",BL_FactSheet_Bundesland,"-2","Alle","-2","anzahl_beteiligungen")</f>
        <v>2</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v>
      </c>
      <c r="E15" s="86">
        <f t="shared" ca="1" si="0"/>
        <v>0</v>
      </c>
      <c r="F15" s="86">
        <f t="shared" ca="1" si="2"/>
        <v>3</v>
      </c>
      <c r="G15" s="80"/>
      <c r="H15" s="86">
        <f ca="1">_xll.PALO.DATAC("jedoxtest/EU_PM_CUBE02","EUPM_Mittel2_Cube",$C$64,"Alle Beteiligungen","Alle Koordinatoren","Alle Unternehmensgrößen","-2","Alle Organisationstypen",28,"Alle Expertevaluierungsstatus",$B15,"-2",BL_FactSheet_Bundesland,"-2","Alle","-2","anzahl_beteiligungen")</f>
        <v>1</v>
      </c>
      <c r="I15" s="87">
        <f ca="1">_xll.PALO.DATAC("jedoxtest/EU_PM_CUBE02","EUPM_Mittel2_Cube",$C$64,"Alle Beteiligungen","Alle Koordinatoren","Alle Unternehmensgrößen","-2","Alle Organisationstypen",28,"Alle Expertevaluierungsstatus",$B15,"-2",BL_FactSheet_Bundesland,"-2","Alle","-2","anzahl_beteiligungen")</f>
        <v>1</v>
      </c>
      <c r="J15" s="86">
        <f ca="1">_xll.PALO.DATAC("jedoxtest/EU_PM_CUBE02","EUPM_Mittel2_Cube",$C$64,"Alle Beteiligungen","Alle Koordinatoren","Alle Unternehmensgrößen","-2","Alle Organisationstypen",5,"Alle Expertevaluierungsstatus",$B15,"-2",BL_FactSheet_Bundesland,"-2","Alle","-2","anzahl_beteiligungen")</f>
        <v>4</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0</v>
      </c>
      <c r="E16" s="86">
        <f t="shared" ca="1" si="0"/>
        <v>0</v>
      </c>
      <c r="F16" s="86">
        <f t="shared" ca="1" si="2"/>
        <v>0</v>
      </c>
      <c r="G16" s="80"/>
      <c r="H16" s="86">
        <f ca="1">_xll.PALO.DATAC("jedoxtest/EU_PM_CUBE02","EUPM_Mittel2_Cube",$C$64,"Alle Beteiligungen","Alle Koordinatoren","Alle Unternehmensgrößen","-2","Alle Organisationstypen",28,"Alle Expertevaluierungsstatus",$B16,"-2",BL_FactSheet_Bundesland,"-2","Alle","-2","anzahl_beteiligungen")</f>
        <v>0</v>
      </c>
      <c r="I16" s="87">
        <f ca="1">_xll.PALO.DATAC("jedoxtest/EU_PM_CUBE02","EUPM_Mittel2_Cube",$C$64,"Alle Beteiligungen","Alle Koordinatoren","Alle Unternehmensgrößen","-2","Alle Organisationstypen",28,"Alle Expertevaluierungsstatus",$B16,"-2",BL_FactSheet_Bundesland,"-2","Alle","-2","anzahl_beteiligungen")</f>
        <v>0</v>
      </c>
      <c r="J16" s="86">
        <f ca="1">_xll.PALO.DATAC("jedoxtest/EU_PM_CUBE02","EUPM_Mittel2_Cube",$C$64,"Alle Beteiligungen","Alle Koordinatoren","Alle Unternehmensgrößen","-2","Alle Organisationstypen",5,"Alle Expertevaluierungsstatus",$B16,"-2",BL_FactSheet_Bundesland,"-2","Alle","-2","anzahl_beteiligungen")</f>
        <v>0</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3</v>
      </c>
      <c r="E17" s="86">
        <f t="shared" ca="1" si="0"/>
        <v>0</v>
      </c>
      <c r="F17" s="86">
        <f t="shared" ca="1" si="2"/>
        <v>12</v>
      </c>
      <c r="G17" s="80"/>
      <c r="H17" s="86">
        <f ca="1">_xll.PALO.DATAC("jedoxtest/EU_PM_CUBE02","EUPM_Mittel2_Cube",$C$64,"Alle Beteiligungen","Alle Koordinatoren","Alle Unternehmensgrößen","-2","Alle Organisationstypen",28,"Alle Expertevaluierungsstatus",$B17,"-2",BL_FactSheet_Bundesland,"-2","Alle","-2","anzahl_beteiligungen")</f>
        <v>3</v>
      </c>
      <c r="I17" s="87">
        <f ca="1">_xll.PALO.DATAC("jedoxtest/EU_PM_CUBE02","EUPM_Mittel2_Cube",$C$64,"Alle Beteiligungen","Alle Koordinatoren","Alle Unternehmensgrößen","-2","Alle Organisationstypen",28,"Alle Expertevaluierungsstatus",$B17,"-2",BL_FactSheet_Bundesland,"-2","Alle","-2","anzahl_beteiligungen")</f>
        <v>3</v>
      </c>
      <c r="J17" s="86">
        <f ca="1">_xll.PALO.DATAC("jedoxtest/EU_PM_CUBE02","EUPM_Mittel2_Cube",$C$64,"Alle Beteiligungen","Alle Koordinatoren","Alle Unternehmensgrößen","-2","Alle Organisationstypen",5,"Alle Expertevaluierungsstatus",$B17,"-2",BL_FactSheet_Bundesland,"-2","Alle","-2","anzahl_beteiligungen")</f>
        <v>15</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9</v>
      </c>
      <c r="E18" s="86">
        <f t="shared" ca="1" si="0"/>
        <v>0</v>
      </c>
      <c r="F18" s="86">
        <f t="shared" ca="1" si="2"/>
        <v>60</v>
      </c>
      <c r="G18" s="80"/>
      <c r="H18" s="86">
        <f ca="1">_xll.PALO.DATAC("jedoxtest/EU_PM_CUBE02","EUPM_Mittel2_Cube",$C$64,"Alle Beteiligungen","Alle Koordinatoren","Alle Unternehmensgrößen","-2","Alle Organisationstypen",28,"Alle Expertevaluierungsstatus",$B18,"-2",BL_FactSheet_Bundesland,"-2","Alle","-2","anzahl_beteiligungen")</f>
        <v>9</v>
      </c>
      <c r="I18" s="87">
        <f ca="1">_xll.PALO.DATAC("jedoxtest/EU_PM_CUBE02","EUPM_Mittel2_Cube",$C$64,"Alle Beteiligungen","Alle Koordinatoren","Alle Unternehmensgrößen","-2","Alle Organisationstypen",28,"Alle Expertevaluierungsstatus",$B18,"-2",BL_FactSheet_Bundesland,"-2","Alle","-2","anzahl_beteiligungen")</f>
        <v>9</v>
      </c>
      <c r="J18" s="86">
        <f ca="1">_xll.PALO.DATAC("jedoxtest/EU_PM_CUBE02","EUPM_Mittel2_Cube",$C$64,"Alle Beteiligungen","Alle Koordinatoren","Alle Unternehmensgrößen","-2","Alle Organisationstypen",5,"Alle Expertevaluierungsstatus",$B18,"-2",BL_FactSheet_Bundesland,"-2","Alle","-2","anzahl_beteiligungen")</f>
        <v>69</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4</v>
      </c>
      <c r="E19" s="86">
        <f t="shared" ca="1" si="0"/>
        <v>0</v>
      </c>
      <c r="F19" s="86">
        <f t="shared" ca="1" si="2"/>
        <v>9</v>
      </c>
      <c r="G19" s="80"/>
      <c r="H19" s="86">
        <f ca="1">_xll.PALO.DATAC("jedoxtest/EU_PM_CUBE02","EUPM_Mittel2_Cube",$C$64,"Alle Beteiligungen","Alle Koordinatoren","Alle Unternehmensgrößen","-2","Alle Organisationstypen",28,"Alle Expertevaluierungsstatus",$B19,"-2",BL_FactSheet_Bundesland,"-2","Alle","-2","anzahl_beteiligungen")</f>
        <v>4</v>
      </c>
      <c r="I19" s="87">
        <f ca="1">_xll.PALO.DATAC("jedoxtest/EU_PM_CUBE02","EUPM_Mittel2_Cube",$C$64,"Alle Beteiligungen","Alle Koordinatoren","Alle Unternehmensgrößen","-2","Alle Organisationstypen",28,"Alle Expertevaluierungsstatus",$B19,"-2",BL_FactSheet_Bundesland,"-2","Alle","-2","anzahl_beteiligungen")</f>
        <v>4</v>
      </c>
      <c r="J19" s="86">
        <f ca="1">_xll.PALO.DATAC("jedoxtest/EU_PM_CUBE02","EUPM_Mittel2_Cube",$C$64,"Alle Beteiligungen","Alle Koordinatoren","Alle Unternehmensgrößen","-2","Alle Organisationstypen",5,"Alle Expertevaluierungsstatus",$B19,"-2",BL_FactSheet_Bundesland,"-2","Alle","-2","anzahl_beteiligungen")</f>
        <v>13</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_xll.PALO.DATAC("jedoxtest/EU_PM_CUBE02","EUPM_Mittel2_Cube",$C$64,"Alle Beteiligungen","Alle Koordinatoren","Alle Unternehmensgrößen","-2","Alle Organisationstypen",28,"Alle Expertevaluierungsstatus",$B20,"-2",BL_FactSheet_Bundesland,"-2","Alle","-2","anzahl_beteiligungen")</f>
        <v/>
      </c>
      <c r="J20" s="86" t="str">
        <f ca="1">_xll.PALO.DATAC("jedoxtest/EU_PM_CUBE02","EUPM_Mittel2_Cube",$C$64,"Alle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0</v>
      </c>
      <c r="E21" s="86">
        <f t="shared" ca="1" si="0"/>
        <v>0</v>
      </c>
      <c r="F21" s="86">
        <f t="shared" ca="1" si="2"/>
        <v>9</v>
      </c>
      <c r="G21" s="80"/>
      <c r="H21" s="86">
        <f ca="1">_xll.PALO.DATAC("jedoxtest/EU_PM_CUBE02","EUPM_Mittel2_Cube",$C$64,"Alle Beteiligungen","Alle Koordinatoren","Alle Unternehmensgrößen","-2","Alle Organisationstypen",28,"Alle Expertevaluierungsstatus",$B21,"-2",BL_FactSheet_Bundesland,"-2","Alle","-2","anzahl_beteiligungen")</f>
        <v>0</v>
      </c>
      <c r="I21" s="87">
        <f ca="1">_xll.PALO.DATAC("jedoxtest/EU_PM_CUBE02","EUPM_Mittel2_Cube",$C$64,"Alle Beteiligungen","Alle Koordinatoren","Alle Unternehmensgrößen","-2","Alle Organisationstypen",28,"Alle Expertevaluierungsstatus",$B21,"-2",BL_FactSheet_Bundesland,"-2","Alle","-2","anzahl_beteiligungen")</f>
        <v>0</v>
      </c>
      <c r="J21" s="86">
        <f ca="1">_xll.PALO.DATAC("jedoxtest/EU_PM_CUBE02","EUPM_Mittel2_Cube",$C$64,"Alle Beteiligungen","Alle Koordinatoren","Alle Unternehmensgrößen","-2","Alle Organisationstypen",5,"Alle Expertevaluierungsstatus",$B21,"-2",BL_FactSheet_Bundesland,"-2","Alle","-2","anzahl_beteiligungen")</f>
        <v>9</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1</v>
      </c>
      <c r="E22" s="86">
        <f t="shared" ca="1" si="0"/>
        <v>0</v>
      </c>
      <c r="F22" s="86">
        <f t="shared" ca="1" si="2"/>
        <v>0</v>
      </c>
      <c r="G22" s="80"/>
      <c r="H22" s="86">
        <f ca="1">_xll.PALO.DATAC("jedoxtest/EU_PM_CUBE02","EUPM_Mittel2_Cube",$C$64,"Alle Beteiligungen","Alle Koordinatoren","Alle Unternehmensgrößen","-2","Alle Organisationstypen",28,"Alle Expertevaluierungsstatus",$B22,"-2",BL_FactSheet_Bundesland,"-2","Alle","-2","anzahl_beteiligungen")</f>
        <v>1</v>
      </c>
      <c r="I22" s="87">
        <f ca="1">_xll.PALO.DATAC("jedoxtest/EU_PM_CUBE02","EUPM_Mittel2_Cube",$C$64,"Alle Beteiligungen","Alle Koordinatoren","Alle Unternehmensgrößen","-2","Alle Organisationstypen",28,"Alle Expertevaluierungsstatus",$B22,"-2",BL_FactSheet_Bundesland,"-2","Alle","-2","anzahl_beteiligungen")</f>
        <v>1</v>
      </c>
      <c r="J22" s="86">
        <f ca="1">_xll.PALO.DATAC("jedoxtest/EU_PM_CUBE02","EUPM_Mittel2_Cube",$C$64,"Alle Beteiligungen","Alle Koordinatoren","Alle Unternehmensgrößen","-2","Alle Organisationstypen",5,"Alle Expertevaluierungsstatus",$B22,"-2",BL_FactSheet_Bundesland,"-2","Alle","-2","anzahl_beteiligungen")</f>
        <v>1</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_xll.PALO.DATAC("jedoxtest/EU_PM_CUBE02","EUPM_Mittel2_Cube",$C$64,"Alle Beteiligungen","Alle Koordinatoren","Alle Unternehmensgrößen","-2","Alle Organisationstypen",28,"Alle Expertevaluierungsstatus",$B23,"-2",BL_FactSheet_Bundesland,"-2","Alle","-2","anzahl_beteiligungen")</f>
        <v>0</v>
      </c>
      <c r="I23" s="87">
        <f ca="1">_xll.PALO.DATAC("jedoxtest/EU_PM_CUBE02","EUPM_Mittel2_Cube",$C$64,"Alle Beteiligungen","Alle Koordinatoren","Alle Unternehmensgrößen","-2","Alle Organisationstypen",28,"Alle Expertevaluierungsstatus",$B23,"-2",BL_FactSheet_Bundesland,"-2","Alle","-2","anzahl_beteiligungen")</f>
        <v>0</v>
      </c>
      <c r="J23" s="86">
        <f ca="1">_xll.PALO.DATAC("jedoxtest/EU_PM_CUBE02","EUPM_Mittel2_Cube",$C$64,"Alle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_xll.PALO.DATAC("jedoxtest/EU_PM_CUBE02","EUPM_Mittel2_Cube",$C$64,"Alle Beteiligungen","Alle Koordinatoren","Alle Unternehmensgrößen","-2","Alle Organisationstypen",28,"Alle Expertevaluierungsstatus",$B24,"-2",BL_FactSheet_Bundesland,"-2","Alle","-2","anzahl_beteiligungen")</f>
        <v/>
      </c>
      <c r="J24" s="86" t="str">
        <f ca="1">_xll.PALO.DATAC("jedoxtest/EU_PM_CUBE02","EUPM_Mittel2_Cube",$C$64,"Alle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0</v>
      </c>
      <c r="E25" s="86">
        <f t="shared" ca="1" si="0"/>
        <v>0</v>
      </c>
      <c r="F25" s="86">
        <f t="shared" ca="1" si="2"/>
        <v>1</v>
      </c>
      <c r="G25" s="80"/>
      <c r="H25" s="86">
        <f ca="1">_xll.PALO.DATAC("jedoxtest/EU_PM_CUBE02","EUPM_Mittel2_Cube",$C$64,"Alle Beteiligungen","Alle Koordinatoren","Alle Unternehmensgrößen","-2","Alle Organisationstypen",28,"Alle Expertevaluierungsstatus",$B25,"-2",BL_FactSheet_Bundesland,"-2","Alle","-2","anzahl_beteiligungen")</f>
        <v>0</v>
      </c>
      <c r="I25" s="87">
        <f ca="1">_xll.PALO.DATAC("jedoxtest/EU_PM_CUBE02","EUPM_Mittel2_Cube",$C$64,"Alle Beteiligungen","Alle Koordinatoren","Alle Unternehmensgrößen","-2","Alle Organisationstypen",28,"Alle Expertevaluierungsstatus",$B25,"-2",BL_FactSheet_Bundesland,"-2","Alle","-2","anzahl_beteiligungen")</f>
        <v>0</v>
      </c>
      <c r="J25" s="86">
        <f ca="1">_xll.PALO.DATAC("jedoxtest/EU_PM_CUBE02","EUPM_Mittel2_Cube",$C$64,"Alle Beteiligungen","Alle Koordinatoren","Alle Unternehmensgrößen","-2","Alle Organisationstypen",5,"Alle Expertevaluierungsstatus",$B25,"-2",BL_FactSheet_Bundesland,"-2","Alle","-2","anzahl_beteiligungen")</f>
        <v>1</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0</v>
      </c>
      <c r="E26" s="86">
        <f t="shared" ca="1" si="0"/>
        <v>0</v>
      </c>
      <c r="F26" s="86">
        <f t="shared" ca="1" si="2"/>
        <v>0</v>
      </c>
      <c r="G26" s="80"/>
      <c r="H26" s="86">
        <f ca="1">_xll.PALO.DATAC("jedoxtest/EU_PM_CUBE02","EUPM_Mittel2_Cube",$C$64,"Alle Beteiligungen","Alle Koordinatoren","Alle Unternehmensgrößen","-2","Alle Organisationstypen",28,"Alle Expertevaluierungsstatus",$B26,"-2",BL_FactSheet_Bundesland,"-2","Alle","-2","anzahl_beteiligungen")</f>
        <v>0</v>
      </c>
      <c r="I26" s="87">
        <f ca="1">_xll.PALO.DATAC("jedoxtest/EU_PM_CUBE02","EUPM_Mittel2_Cube",$C$64,"Alle Beteiligungen","Alle Koordinatoren","Alle Unternehmensgrößen","-2","Alle Organisationstypen",28,"Alle Expertevaluierungsstatus",$B26,"-2",BL_FactSheet_Bundesland,"-2","Alle","-2","anzahl_beteiligungen")</f>
        <v>0</v>
      </c>
      <c r="J26" s="86">
        <f ca="1">_xll.PALO.DATAC("jedoxtest/EU_PM_CUBE02","EUPM_Mittel2_Cube",$C$64,"Alle Beteiligungen","Alle Koordinatoren","Alle Unternehmensgrößen","-2","Alle Organisationstypen",5,"Alle Expertevaluierungsstatus",$B26,"-2",BL_FactSheet_Bundesland,"-2","Alle","-2","anzahl_beteiligungen")</f>
        <v>0</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_xll.PALO.DATAC("jedoxtest/EU_PM_CUBE02","EUPM_Mittel2_Cube",$C$64,"Alle Beteiligungen","Alle Koordinatoren","Alle Unternehmensgrößen","-2","Alle Organisationstypen",28,"Alle Expertevaluierungsstatus",$B28,"-2",BL_FactSheet_Bundesland,"-2","Alle","-2","anzahl_beteiligungen")</f>
        <v>0</v>
      </c>
      <c r="I28" s="87">
        <f ca="1">_xll.PALO.DATAC("jedoxtest/EU_PM_CUBE02","EUPM_Mittel2_Cube",$C$64,"Alle Beteiligungen","Alle Koordinatoren","Alle Unternehmensgrößen","-2","Alle Organisationstypen",28,"Alle Expertevaluierungsstatus",$B28,"-2",BL_FactSheet_Bundesland,"-2","Alle","-2","anzahl_beteiligungen")</f>
        <v>0</v>
      </c>
      <c r="J28" s="86">
        <f ca="1">_xll.PALO.DATAC("jedoxtest/EU_PM_CUBE02","EUPM_Mittel2_Cube",$C$64,"Alle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Burgenland</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_xll.PALO.DATAC("jedoxtest/EU_PM_CUBE02","EUPM_Mittel2_Cube",$C$64,"Alle Beteiligungen","Alle Koordinatoren","Alle Unternehmensgrößen","-2","Alle Organisationstypen",28,"Alle Expertevaluierungsstatus","-2","-2",BL_FactSheet_Bundesland,"-2","Alle","-2","anzahl_beteiligungen")</f>
        <v>18</v>
      </c>
      <c r="D38" s="101" t="str">
        <f ca="1">TEXT(_xll.PALO.DATAC("jedoxtest/EU_PM_CUBE02","EUPM_Mittel2_Cube",$C$64,"Alle Beteiligungen","Alle Koordinatoren","Alle Unternehmensgrößen","-2","Alle Organisationstypen",28,"Alle Expertevaluierungsstatus","-2","-2",BL_FactSheet_Bundesland,"-2","Alle","-2","foerderung"),"#.##0,0..")&amp;" Mio. €"</f>
        <v>3,2 Mio. €</v>
      </c>
      <c r="E38" s="101">
        <f ca="1">_xll.PALO.DATAC("jedoxtest/EU_PM_CUBE02","EUPM_Mittel2_Cube",$C$64,"Alle Beteiligungen","Alle Koordinatoren","Alle Unternehmensgrößen","-2","Alle Organisationstypen",28,"Alle Expertevaluierungsstatus","-2","-2",BL_FactSheet_Bundesland,"-2","Alle","-2","anzahl_koordinatoren")</f>
        <v>2</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_xll.PALO.DATAC("jedoxtest/EU_PM_CUBE02","EUPM_Mittel2_Cube",$C$64,"Alle Beteiligungen","Alle Koordinatoren","Alle Unternehmensgrößen","-2","Alle Organisationstypen",28,"Alle Expertevaluierungsstatus","-2","-2",BL_FactSheet_Bundesland,"-2","Alle","-2","anzahl_beteiligungen")/_xll.PALO.DATAC("jedoxtest/EU_PM_CUBE02","EUPM_Mittel2_Cube",$C$64,"Alle Beteiligungen","Alle Koordinatoren","Alle Unternehmensgrößen","-2","Alle Organisationstypen",28,"Alle Expertevaluierungsstatus","-2","-2",1,"-2","Alle","-2","anzahl_beteiligungen")</f>
        <v>4.5930084205154376E-3</v>
      </c>
      <c r="D42" s="583">
        <f ca="1">_xll.PALO.DATAC("jedoxtest/EU_PM_CUBE02","EUPM_Mittel2_Cube",$C$64,"Alle Beteiligungen","Alle Koordinatoren","Alle Unternehmensgrößen","-2","Alle Organisationstypen",28,"Alle Expertevaluierungsstatus","-2","-2",BL_FactSheet_Bundesland,"-2","Alle","-2","foerderung")/_xll.PALO.DATAC("jedoxtest/EU_PM_CUBE02","EUPM_Mittel2_Cube",$C$64,"Alle Beteiligungen","Alle Koordinatoren","Alle Unternehmensgrößen","-2","Alle Organisationstypen",28,"Alle Expertevaluierungsstatus","-2","-2",1,"-2","Alle","-2","foerderung")</f>
        <v>1.7338022801161503E-3</v>
      </c>
      <c r="E42" s="583">
        <f ca="1">_xll.PALO.DATAC("jedoxtest/EU_PM_CUBE02","EUPM_Mittel2_Cube",$C$64,"Alle Beteiligungen","Alle Koordinatoren","Alle Unternehmensgrößen","-2","Alle Organisationstypen",28,"Alle Expertevaluierungsstatus","-2","-2",BL_FactSheet_Bundesland,"-2","Alle","-2","anzahl_koordinatoren")/_xll.PALO.DATAC("jedoxtest/EU_PM_CUBE02","EUPM_Mittel2_Cube",$C$64,"Alle Beteiligungen","Alle Koordinatoren","Alle Unternehmensgrößen","-2","Alle Organisationstypen",28,"Alle Expertevaluierungsstatus","-2","-2",1,"-2","Alle","-2","anzahl_koordinatoren")</f>
        <v>2.5839793281653748E-3</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353" t="s">
        <v>359</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247</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394</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428</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334</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TEXT(VLOOKUP($D$64,uebbneu_Factsheet_AT!$C$72:$G$81,3,FALSE),"#.##0..")&amp;" Mio. €"</f>
        <v>10.993 Mio. €</v>
      </c>
      <c r="D52" s="105" t="str">
        <f>TEXT(VLOOKUP($D$64,uebbneu_Factsheet_AT!$C$72:$G$81,4,FALSE),"#.##0..")&amp;" Mio. €"</f>
        <v>95 Mio. €</v>
      </c>
      <c r="E52" s="106">
        <f>VLOOKUP($D$64,uebbneu_Factsheet_AT!$C$72:$G$81,5,FALSE)</f>
        <v>8.6089329573364876E-3</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customFormat="1"/>
    <row r="54" spans="1:256" s="311" customFormat="1" ht="15" customHeight="1">
      <c r="C54" s="740" t="str">
        <f ca="1">"Quelle HEU: EC "&amp;_xll.PALO.DATA("jedoxtest/EU_PM_CUBE02","#_Datenstand","reference_month",$C$64)&amp;"/"&amp;_xll.PALO.DATA("jedoxtest/EU_PM_CUBE02","#_Datenstand","reference_year",$C$64)</f>
        <v>Quelle HEU: EC 5/2026</v>
      </c>
      <c r="D54" s="740"/>
      <c r="E54" s="740"/>
      <c r="F54" s="740"/>
      <c r="G54" s="740"/>
      <c r="H54" s="740"/>
      <c r="I54" s="740"/>
      <c r="J54" s="740"/>
    </row>
    <row r="55" spans="1:256" s="311" customFormat="1" ht="15" customHeight="1">
      <c r="C55" s="740" t="s">
        <v>73</v>
      </c>
      <c r="D55" s="740"/>
      <c r="E55" s="740"/>
      <c r="F55" s="740"/>
      <c r="G55" s="740"/>
      <c r="H55" s="740"/>
      <c r="I55" s="740"/>
      <c r="J55" s="740"/>
    </row>
    <row r="56" spans="1:256" s="311" customFormat="1" ht="15" customHeight="1">
      <c r="C56" s="412"/>
      <c r="D56" s="412"/>
      <c r="E56" s="412"/>
      <c r="F56" s="412"/>
      <c r="G56" s="412"/>
      <c r="H56" s="412"/>
      <c r="I56" s="412"/>
      <c r="J56" s="412" t="s">
        <v>136</v>
      </c>
    </row>
    <row r="57" spans="1:256" s="72" customFormat="1">
      <c r="A57" s="80"/>
      <c r="B57" s="80"/>
      <c r="C57" s="90"/>
      <c r="D57" s="90"/>
      <c r="E57" s="90"/>
      <c r="F57" s="90"/>
      <c r="G57" s="90"/>
      <c r="H57" s="90"/>
      <c r="I57" s="90"/>
      <c r="J57" s="9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c r="HW57" s="80"/>
      <c r="HX57" s="80"/>
      <c r="HY57" s="80"/>
      <c r="HZ57" s="80"/>
      <c r="IA57" s="80"/>
      <c r="IB57" s="80"/>
      <c r="IC57" s="80"/>
      <c r="ID57" s="80"/>
      <c r="IE57" s="80"/>
      <c r="IF57" s="80"/>
      <c r="IG57" s="80"/>
      <c r="IH57" s="80"/>
      <c r="II57" s="80"/>
      <c r="IJ57" s="80"/>
      <c r="IK57" s="80"/>
      <c r="IL57" s="80"/>
      <c r="IM57" s="80"/>
      <c r="IN57" s="80"/>
      <c r="IO57" s="80"/>
      <c r="IP57" s="80"/>
      <c r="IQ57" s="80"/>
      <c r="IR57" s="80"/>
      <c r="IS57" s="80"/>
      <c r="IT57" s="80"/>
      <c r="IU57" s="80"/>
      <c r="IV57" s="80"/>
    </row>
    <row r="58" spans="1:256">
      <c r="C58" s="744" t="str">
        <f ca="1">_xll.PALO.DATA("jedoxtest/EU_PM_CUBE02","#_Staatengruppen_und_NUTS","Langbezeichnung",BL_FactSheet_Bundesland)&amp;": Beteiligungen nach Organisationstyp"</f>
        <v>Burgenland: Beteiligungen nach Organisationstyp</v>
      </c>
      <c r="D58" s="744"/>
      <c r="E58" s="744"/>
      <c r="F58" s="90"/>
      <c r="G58" s="90"/>
      <c r="H58" s="90"/>
      <c r="I58" s="90"/>
      <c r="J58" s="90"/>
    </row>
    <row r="59" spans="1:256">
      <c r="C59" s="91">
        <v>1</v>
      </c>
      <c r="D59" s="413" t="str">
        <f ca="1">_xll.PALO.DATAC("jedoxtest/EU_PM_CUBE02","#_Organisationstyp","Bezeichnung",C59)</f>
        <v>HES</v>
      </c>
      <c r="E59" s="91">
        <f ca="1">_xll.PALO.DATAC("jedoxtest/EU_PM_CUBE02","EUPM_Mittel2_Cube",$C$64,"Alle Beteiligungen","Alle Koordinatoren","Alle Unternehmensgrößen","-2",$C59,28,"Alle Expertevaluierungsstatus","-2","-2",BL_FactSheet_Bundesland,"-2","Alle","-2","anzahl_beteiligungen")</f>
        <v>5</v>
      </c>
      <c r="F59" s="93">
        <f ca="1">_xll.PALO.DATAC("jedoxtest/EU_PM_CUBE02","EUPM_Mittel2_Cube",$C$64,"Alle Beteiligungen","Alle Koordinatoren","Alle Unternehmensgrößen","-2",$C59,28,"Alle Expertevaluierungsstatus","-2","-2",BL_FactSheet_Bundesland,"-2","Alle","-2","anzahl_beteiligungen")/$C$38*100</f>
        <v>27.777777777777779</v>
      </c>
      <c r="G59" s="90"/>
      <c r="H59" s="90"/>
      <c r="I59" s="90"/>
      <c r="J59" s="90"/>
    </row>
    <row r="60" spans="1:256">
      <c r="C60" s="91">
        <v>2</v>
      </c>
      <c r="D60" s="413" t="str">
        <f ca="1">_xll.PALO.DATAC("jedoxtest/EU_PM_CUBE02","#_Organisationstyp","Bezeichnung",C60)</f>
        <v>PRC</v>
      </c>
      <c r="E60" s="91">
        <f ca="1">_xll.PALO.DATAC("jedoxtest/EU_PM_CUBE02","EUPM_Mittel2_Cube",$C$64,"Alle Beteiligungen","Alle Koordinatoren","Alle Unternehmensgrößen","-2",$C60,28,"Alle Expertevaluierungsstatus","-2","-2",BL_FactSheet_Bundesland,"-2","Alle","-2","anzahl_beteiligungen")</f>
        <v>9</v>
      </c>
      <c r="F60" s="93">
        <f ca="1">_xll.PALO.DATAC("jedoxtest/EU_PM_CUBE02","EUPM_Mittel2_Cube",$C$64,"Alle Beteiligungen","Alle Koordinatoren","Alle Unternehmensgrößen","-2",$C60,28,"Alle Expertevaluierungsstatus","-2","-2",BL_FactSheet_Bundesland,"-2","Alle","-2","anzahl_beteiligungen")/$C$38*100</f>
        <v>50</v>
      </c>
      <c r="G60" s="90"/>
      <c r="H60" s="90"/>
      <c r="I60" s="90"/>
      <c r="J60" s="90"/>
    </row>
    <row r="61" spans="1:256">
      <c r="C61" s="91">
        <v>5</v>
      </c>
      <c r="D61" s="413" t="str">
        <f ca="1">_xll.PALO.DATAC("jedoxtest/EU_PM_CUBE02","#_Organisationstyp","Bezeichnung",C61)</f>
        <v>REC</v>
      </c>
      <c r="E61" s="91">
        <f ca="1">_xll.PALO.DATAC("jedoxtest/EU_PM_CUBE02","EUPM_Mittel2_Cube",$C$64,"Alle Beteiligungen","Alle Koordinatoren","Alle Unternehmensgrößen","-2",$C61,28,"Alle Expertevaluierungsstatus","-2","-2",BL_FactSheet_Bundesland,"-2","Alle","-2","anzahl_beteiligungen")</f>
        <v>3</v>
      </c>
      <c r="F61" s="93">
        <f ca="1">_xll.PALO.DATAC("jedoxtest/EU_PM_CUBE02","EUPM_Mittel2_Cube",$C$64,"Alle Beteiligungen","Alle Koordinatoren","Alle Unternehmensgrößen","-2",$C61,28,"Alle Expertevaluierungsstatus","-2","-2",BL_FactSheet_Bundesland,"-2","Alle","-2","anzahl_beteiligungen")/$C$38*100</f>
        <v>16.666666666666664</v>
      </c>
      <c r="G61" s="90"/>
      <c r="H61" s="90"/>
      <c r="I61" s="90"/>
      <c r="J61" s="90"/>
    </row>
    <row r="62" spans="1:256">
      <c r="C62" s="91">
        <v>4</v>
      </c>
      <c r="D62" s="413" t="str">
        <f ca="1">_xll.PALO.DATAC("jedoxtest/EU_PM_CUBE02","#_Organisationstyp","Bezeichnung",C62)</f>
        <v>PUB</v>
      </c>
      <c r="E62" s="91">
        <f ca="1">_xll.PALO.DATAC("jedoxtest/EU_PM_CUBE02","EUPM_Mittel2_Cube",$C$64,"Alle Beteiligungen","Alle Koordinatoren","Alle Unternehmensgrößen","-2",$C62,28,"Alle Expertevaluierungsstatus","-2","-2",BL_FactSheet_Bundesland,"-2","Alle","-2","anzahl_beteiligungen")</f>
        <v>1</v>
      </c>
      <c r="F62" s="93">
        <f ca="1">_xll.PALO.DATAC("jedoxtest/EU_PM_CUBE02","EUPM_Mittel2_Cube",$C$64,"Alle Beteiligungen","Alle Koordinatoren","Alle Unternehmensgrößen","-2",$C62,28,"Alle Expertevaluierungsstatus","-2","-2",BL_FactSheet_Bundesland,"-2","Alle","-2","anzahl_beteiligungen")/$C$38*100</f>
        <v>5.5555555555555554</v>
      </c>
      <c r="G62" s="90"/>
      <c r="H62" s="90"/>
      <c r="I62" s="90"/>
      <c r="J62" s="90"/>
    </row>
    <row r="63" spans="1:256">
      <c r="C63" s="91">
        <v>3</v>
      </c>
      <c r="D63" s="413" t="str">
        <f ca="1">_xll.PALO.DATAC("jedoxtest/EU_PM_CUBE02","#_Organisationstyp","Bezeichnung",C63)</f>
        <v>OTH</v>
      </c>
      <c r="E63" s="91">
        <f ca="1">_xll.PALO.DATAC("jedoxtest/EU_PM_CUBE02","EUPM_Mittel2_Cube",$C$64,"Alle Beteiligungen","Alle Koordinatoren","Alle Unternehmensgrößen","-2",$C63,28,"Alle Expertevaluierungsstatus","-2","-2",BL_FactSheet_Bundesland,"-2","Alle","-2","anzahl_beteiligungen")</f>
        <v>0</v>
      </c>
      <c r="F63" s="93">
        <f ca="1">_xll.PALO.DATAC("jedoxtest/EU_PM_CUBE02","EUPM_Mittel2_Cube",$C$64,"Alle Beteiligungen","Alle Koordinatoren","Alle Unternehmensgrößen","-2",$C63,28,"Alle Expertevaluierungsstatus","-2","-2",BL_FactSheet_Bundesland,"-2","Alle","-2","anzahl_beteiligungen")/$C$38*100</f>
        <v>0</v>
      </c>
      <c r="G63" s="90"/>
      <c r="H63" s="90"/>
      <c r="I63" s="90"/>
      <c r="J63" s="90"/>
    </row>
    <row r="64" spans="1:256">
      <c r="C64" s="413" t="str">
        <f ca="1">_xll.PALO.ENAME("jedoxtest/EU_PM_CUBE02","Datenstand",3)</f>
        <v>117</v>
      </c>
      <c r="D64" s="91">
        <v>3</v>
      </c>
      <c r="E64" s="413"/>
      <c r="F64" s="90"/>
      <c r="G64" s="90"/>
      <c r="H64" s="90"/>
      <c r="I64" s="90"/>
      <c r="J64" s="90"/>
    </row>
    <row r="65" spans="3:7">
      <c r="D65" s="413"/>
    </row>
    <row r="69" spans="3:7" ht="15" customHeight="1"/>
    <row r="70" spans="3:7" ht="15" customHeight="1">
      <c r="C70" s="61"/>
      <c r="D70" s="61"/>
      <c r="E70" s="94"/>
      <c r="F70" s="94"/>
      <c r="G70" s="94"/>
    </row>
    <row r="71" spans="3:7" ht="15" customHeight="1">
      <c r="C71" s="61"/>
      <c r="D71" s="61"/>
      <c r="E71" s="94"/>
      <c r="F71" s="94"/>
      <c r="G71" s="94"/>
    </row>
    <row r="72" spans="3:7" ht="15" customHeight="1">
      <c r="C72" s="61"/>
      <c r="D72" s="61"/>
      <c r="E72" s="95"/>
      <c r="F72" s="97"/>
      <c r="G72" s="96"/>
    </row>
    <row r="73" spans="3:7" ht="15" customHeight="1">
      <c r="C73" s="61"/>
      <c r="D73" s="61"/>
      <c r="E73" s="94"/>
      <c r="F73" s="97"/>
      <c r="G73" s="96"/>
    </row>
    <row r="74" spans="3:7" ht="15" customHeight="1">
      <c r="C74" s="61"/>
      <c r="D74" s="61"/>
      <c r="E74" s="94"/>
      <c r="F74" s="97"/>
      <c r="G74" s="96"/>
    </row>
    <row r="75" spans="3:7" ht="15" customHeight="1">
      <c r="C75" s="61"/>
      <c r="D75" s="61"/>
      <c r="E75" s="95"/>
      <c r="F75" s="97"/>
      <c r="G75" s="96"/>
    </row>
    <row r="76" spans="3:7" ht="15" customHeight="1">
      <c r="C76" s="61"/>
      <c r="D76" s="61"/>
      <c r="E76" s="95"/>
      <c r="F76" s="97"/>
      <c r="G76" s="96"/>
    </row>
    <row r="77" spans="3:7">
      <c r="C77" s="61"/>
      <c r="D77" s="61"/>
      <c r="E77" s="95"/>
      <c r="F77" s="97"/>
      <c r="G77" s="96"/>
    </row>
    <row r="78" spans="3:7">
      <c r="C78" s="61"/>
      <c r="D78" s="61"/>
      <c r="E78" s="95"/>
      <c r="F78" s="97"/>
      <c r="G78" s="96"/>
    </row>
    <row r="79" spans="3:7">
      <c r="C79" s="61"/>
      <c r="D79" s="61"/>
      <c r="E79" s="95"/>
      <c r="F79" s="97"/>
      <c r="G79" s="96"/>
    </row>
    <row r="80" spans="3:7">
      <c r="C80" s="61"/>
      <c r="D80" s="61"/>
      <c r="E80" s="95"/>
      <c r="F80" s="97"/>
      <c r="G80" s="96"/>
    </row>
    <row r="81" spans="3:7">
      <c r="C81" s="61"/>
      <c r="D81" s="61"/>
      <c r="E81" s="95"/>
      <c r="F81" s="411"/>
      <c r="G81" s="96"/>
    </row>
    <row r="82" spans="3:7">
      <c r="C82" s="61"/>
      <c r="D82" s="61"/>
      <c r="E82" s="61"/>
      <c r="F82" s="411"/>
      <c r="G82" s="411"/>
    </row>
    <row r="83" spans="3:7">
      <c r="C83" s="61"/>
      <c r="D83" s="61"/>
      <c r="E83" s="61"/>
      <c r="F83" s="411"/>
      <c r="G83" s="411"/>
    </row>
    <row r="84" spans="3:7">
      <c r="C84" s="61"/>
      <c r="D84" s="61"/>
      <c r="E84" s="61"/>
      <c r="F84" s="411"/>
      <c r="G84" s="411"/>
    </row>
  </sheetData>
  <mergeCells count="7">
    <mergeCell ref="C5:J5"/>
    <mergeCell ref="C44:E44"/>
    <mergeCell ref="C54:J54"/>
    <mergeCell ref="C55:J55"/>
    <mergeCell ref="C58:E58"/>
    <mergeCell ref="C40:E40"/>
    <mergeCell ref="C36:E36"/>
  </mergeCells>
  <conditionalFormatting sqref="C36">
    <cfRule type="expression" dxfId="80" priority="1">
      <formula>$D36=2</formula>
    </cfRule>
  </conditionalFormatting>
  <conditionalFormatting sqref="C38:C40">
    <cfRule type="expression" dxfId="79" priority="92">
      <formula>$D38=2</formula>
    </cfRule>
  </conditionalFormatting>
  <conditionalFormatting sqref="C42:E42">
    <cfRule type="expression" dxfId="78" priority="2">
      <formula>$D42=2</formula>
    </cfRule>
  </conditionalFormatting>
  <conditionalFormatting sqref="D38:E39">
    <cfRule type="expression" dxfId="77" priority="90">
      <formula>$D38=2</formula>
    </cfRule>
  </conditionalFormatting>
  <conditionalFormatting sqref="F10:F12 F14:F19 F21:F23 F25:F26 F28:F31">
    <cfRule type="expression" dxfId="76" priority="96">
      <formula>$B9=2</formula>
    </cfRule>
  </conditionalFormatting>
  <conditionalFormatting sqref="F10:F31">
    <cfRule type="expression" dxfId="75" priority="5">
      <formula>$B10=2</formula>
    </cfRule>
  </conditionalFormatting>
  <conditionalFormatting sqref="F13 F20 F24">
    <cfRule type="expression" dxfId="74" priority="99">
      <formula>#REF!=2</formula>
    </cfRule>
  </conditionalFormatting>
  <conditionalFormatting sqref="F27">
    <cfRule type="expression" dxfId="73" priority="102">
      <formula>#REF!=2</formula>
    </cfRule>
  </conditionalFormatting>
  <conditionalFormatting sqref="H10:J31">
    <cfRule type="expression" dxfId="72" priority="6">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tabColor rgb="FF92D050"/>
    <pageSetUpPr fitToPage="1"/>
  </sheetPr>
  <dimension ref="A1:IV85"/>
  <sheetViews>
    <sheetView topLeftCell="A33" zoomScaleNormal="100" workbookViewId="0">
      <selection activeCell="A33" sqref="A33"/>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Kärnten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0</v>
      </c>
      <c r="E10" s="86">
        <f t="shared" ref="E10:E28" ca="1" si="0">IF(I10=0,0,ABS(H10-I10))</f>
        <v>0</v>
      </c>
      <c r="F10" s="86">
        <f ca="1">J10-H10-E10</f>
        <v>16</v>
      </c>
      <c r="G10" s="80"/>
      <c r="H10" s="86">
        <f ca="1">_xll.PALO.DATAC("jedoxtest/EU_PM_CUBE02","EUPM_Mittel2_Cube",$C$65,"Alle Beteiligungen","Alle Koordinatoren","Alle Unternehmensgrößen","-2","Alle Organisationstypen",28,"Alle Expertevaluierungsstatus",$B10,"-2",BL_FactSheet_Bundesland,"-2","Alle","-2","anzahl_beteiligungen")</f>
        <v>0</v>
      </c>
      <c r="I10" s="87">
        <f ca="1">_xll.PALO.DATAC("jedoxtest/EU_PM_CUBE02","EUPM_Mittel2_Cube",$C$65,"Alle Beteiligungen","Alle Koordinatoren","Alle Unternehmensgrößen","-2","Alle Organisationstypen",28,"Alle Expertevaluierungsstatus",$B10,"-2",BL_FactSheet_Bundesland,"-2","Alle","-2","anzahl_beteiligungen")</f>
        <v>0</v>
      </c>
      <c r="J10" s="86">
        <f ca="1">_xll.PALO.DATAC("jedoxtest/EU_PM_CUBE02","EUPM_Mittel2_Cube",$C$65,"Alle Beteiligungen","Alle Koordinatoren","Alle Unternehmensgrößen","-2","Alle Organisationstypen",5,"Alle Expertevaluierungsstatus",$B10,"-2",BL_FactSheet_Bundesland,"-2","Alle","-2","anzahl_beteiligungen")</f>
        <v>16</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9</v>
      </c>
      <c r="E11" s="86">
        <f t="shared" ca="1" si="0"/>
        <v>0</v>
      </c>
      <c r="F11" s="86">
        <f t="shared" ref="F11:F28" ca="1" si="2">J11-H11-E11</f>
        <v>79</v>
      </c>
      <c r="G11" s="80"/>
      <c r="H11" s="86">
        <f ca="1">_xll.PALO.DATAC("jedoxtest/EU_PM_CUBE02","EUPM_Mittel2_Cube",$C$65,"Alle Beteiligungen","Alle Koordinatoren","Alle Unternehmensgrößen","-2","Alle Organisationstypen",28,"Alle Expertevaluierungsstatus",$B11,"-2",BL_FactSheet_Bundesland,"-2","Alle","-2","anzahl_beteiligungen")</f>
        <v>9</v>
      </c>
      <c r="I11" s="87">
        <f ca="1">_xll.PALO.DATAC("jedoxtest/EU_PM_CUBE02","EUPM_Mittel2_Cube",$C$65,"Alle Beteiligungen","Alle Koordinatoren","Alle Unternehmensgrößen","-2","Alle Organisationstypen",28,"Alle Expertevaluierungsstatus",$B11,"-2",BL_FactSheet_Bundesland,"-2","Alle","-2","anzahl_beteiligungen")</f>
        <v>9</v>
      </c>
      <c r="J11" s="86">
        <f ca="1">_xll.PALO.DATAC("jedoxtest/EU_PM_CUBE02","EUPM_Mittel2_Cube",$C$65,"Alle Beteiligungen","Alle Koordinatoren","Alle Unternehmensgrößen","-2","Alle Organisationstypen",5,"Alle Expertevaluierungsstatus",$B11,"-2",BL_FactSheet_Bundesland,"-2","Alle","-2","anzahl_beteiligungen")</f>
        <v>88</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0</v>
      </c>
      <c r="E12" s="86">
        <f t="shared" ca="1" si="0"/>
        <v>0</v>
      </c>
      <c r="F12" s="86">
        <f t="shared" ca="1" si="2"/>
        <v>3</v>
      </c>
      <c r="G12" s="80"/>
      <c r="H12" s="86">
        <f ca="1">_xll.PALO.DATAC("jedoxtest/EU_PM_CUBE02","EUPM_Mittel2_Cube",$C$65,"Alle Beteiligungen","Alle Koordinatoren","Alle Unternehmensgrößen","-2","Alle Organisationstypen",28,"Alle Expertevaluierungsstatus",$B12,"-2",BL_FactSheet_Bundesland,"-2","Alle","-2","anzahl_beteiligungen")</f>
        <v>0</v>
      </c>
      <c r="I12" s="87">
        <f ca="1">_xll.PALO.DATAC("jedoxtest/EU_PM_CUBE02","EUPM_Mittel2_Cube",$C$65,"Alle Beteiligungen","Alle Koordinatoren","Alle Unternehmensgrößen","-2","Alle Organisationstypen",28,"Alle Expertevaluierungsstatus",$B12,"-2",BL_FactSheet_Bundesland,"-2","Alle","-2","anzahl_beteiligungen")</f>
        <v>0</v>
      </c>
      <c r="J12" s="86">
        <f ca="1">_xll.PALO.DATAC("jedoxtest/EU_PM_CUBE02","EUPM_Mittel2_Cube",$C$65,"Alle Beteiligungen","Alle Koordinatoren","Alle Unternehmensgrößen","-2","Alle Organisationstypen",5,"Alle Expertevaluierungsstatus",$B12,"-2",BL_FactSheet_Bundesland,"-2","Alle","-2","anzahl_beteiligungen")</f>
        <v>3</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3</v>
      </c>
      <c r="E14" s="86">
        <f t="shared" ca="1" si="0"/>
        <v>0</v>
      </c>
      <c r="F14" s="86">
        <f t="shared" ca="1" si="2"/>
        <v>16</v>
      </c>
      <c r="G14" s="80"/>
      <c r="H14" s="86">
        <f ca="1">_xll.PALO.DATAC("jedoxtest/EU_PM_CUBE02","EUPM_Mittel2_Cube",$C$65,"Alle Beteiligungen","Alle Koordinatoren","Alle Unternehmensgrößen","-2","Alle Organisationstypen",28,"Alle Expertevaluierungsstatus",$B14,"-2",BL_FactSheet_Bundesland,"-2","Alle","-2","anzahl_beteiligungen")</f>
        <v>3</v>
      </c>
      <c r="I14" s="87">
        <f ca="1">_xll.PALO.DATAC("jedoxtest/EU_PM_CUBE02","EUPM_Mittel2_Cube",$C$65,"Alle Beteiligungen","Alle Koordinatoren","Alle Unternehmensgrößen","-2","Alle Organisationstypen",28,"Alle Expertevaluierungsstatus",$B14,"-2",BL_FactSheet_Bundesland,"-2","Alle","-2","anzahl_beteiligungen")</f>
        <v>3</v>
      </c>
      <c r="J14" s="86">
        <f ca="1">_xll.PALO.DATAC("jedoxtest/EU_PM_CUBE02","EUPM_Mittel2_Cube",$C$65,"Alle Beteiligungen","Alle Koordinatoren","Alle Unternehmensgrößen","-2","Alle Organisationstypen",5,"Alle Expertevaluierungsstatus",$B14,"-2",BL_FactSheet_Bundesland,"-2","Alle","-2","anzahl_beteiligungen")</f>
        <v>19</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3</v>
      </c>
      <c r="E15" s="86">
        <f t="shared" ca="1" si="0"/>
        <v>0</v>
      </c>
      <c r="F15" s="86">
        <f t="shared" ca="1" si="2"/>
        <v>22</v>
      </c>
      <c r="G15" s="80"/>
      <c r="H15" s="86">
        <f ca="1">_xll.PALO.DATAC("jedoxtest/EU_PM_CUBE02","EUPM_Mittel2_Cube",$C$65,"Alle Beteiligungen","Alle Koordinatoren","Alle Unternehmensgrößen","-2","Alle Organisationstypen",28,"Alle Expertevaluierungsstatus",$B15,"-2",BL_FactSheet_Bundesland,"-2","Alle","-2","anzahl_beteiligungen")</f>
        <v>3</v>
      </c>
      <c r="I15" s="87">
        <f ca="1">_xll.PALO.DATAC("jedoxtest/EU_PM_CUBE02","EUPM_Mittel2_Cube",$C$65,"Alle Beteiligungen","Alle Koordinatoren","Alle Unternehmensgrößen","-2","Alle Organisationstypen",28,"Alle Expertevaluierungsstatus",$B15,"-2",BL_FactSheet_Bundesland,"-2","Alle","-2","anzahl_beteiligungen")</f>
        <v>3</v>
      </c>
      <c r="J15" s="86">
        <f ca="1">_xll.PALO.DATAC("jedoxtest/EU_PM_CUBE02","EUPM_Mittel2_Cube",$C$65,"Alle Beteiligungen","Alle Koordinatoren","Alle Unternehmensgrößen","-2","Alle Organisationstypen",5,"Alle Expertevaluierungsstatus",$B15,"-2",BL_FactSheet_Bundesland,"-2","Alle","-2","anzahl_beteiligungen")</f>
        <v>25</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3</v>
      </c>
      <c r="E16" s="86">
        <f t="shared" ca="1" si="0"/>
        <v>0</v>
      </c>
      <c r="F16" s="86">
        <f t="shared" ca="1" si="2"/>
        <v>60</v>
      </c>
      <c r="G16" s="80"/>
      <c r="H16" s="86">
        <f ca="1">_xll.PALO.DATAC("jedoxtest/EU_PM_CUBE02","EUPM_Mittel2_Cube",$C$65,"Alle Beteiligungen","Alle Koordinatoren","Alle Unternehmensgrößen","-2","Alle Organisationstypen",28,"Alle Expertevaluierungsstatus",$B16,"-2",BL_FactSheet_Bundesland,"-2","Alle","-2","anzahl_beteiligungen")</f>
        <v>3</v>
      </c>
      <c r="I16" s="87">
        <f ca="1">_xll.PALO.DATAC("jedoxtest/EU_PM_CUBE02","EUPM_Mittel2_Cube",$C$65,"Alle Beteiligungen","Alle Koordinatoren","Alle Unternehmensgrößen","-2","Alle Organisationstypen",28,"Alle Expertevaluierungsstatus",$B16,"-2",BL_FactSheet_Bundesland,"-2","Alle","-2","anzahl_beteiligungen")</f>
        <v>3</v>
      </c>
      <c r="J16" s="86">
        <f ca="1">_xll.PALO.DATAC("jedoxtest/EU_PM_CUBE02","EUPM_Mittel2_Cube",$C$65,"Alle Beteiligungen","Alle Koordinatoren","Alle Unternehmensgrößen","-2","Alle Organisationstypen",5,"Alle Expertevaluierungsstatus",$B16,"-2",BL_FactSheet_Bundesland,"-2","Alle","-2","anzahl_beteiligungen")</f>
        <v>63</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66</v>
      </c>
      <c r="E17" s="86">
        <f t="shared" ca="1" si="0"/>
        <v>0</v>
      </c>
      <c r="F17" s="86">
        <f t="shared" ca="1" si="2"/>
        <v>199</v>
      </c>
      <c r="G17" s="80"/>
      <c r="H17" s="86">
        <f ca="1">_xll.PALO.DATAC("jedoxtest/EU_PM_CUBE02","EUPM_Mittel2_Cube",$C$65,"Alle Beteiligungen","Alle Koordinatoren","Alle Unternehmensgrößen","-2","Alle Organisationstypen",28,"Alle Expertevaluierungsstatus",$B17,"-2",BL_FactSheet_Bundesland,"-2","Alle","-2","anzahl_beteiligungen")</f>
        <v>66</v>
      </c>
      <c r="I17" s="87">
        <f ca="1">_xll.PALO.DATAC("jedoxtest/EU_PM_CUBE02","EUPM_Mittel2_Cube",$C$65,"Alle Beteiligungen","Alle Koordinatoren","Alle Unternehmensgrößen","-2","Alle Organisationstypen",28,"Alle Expertevaluierungsstatus",$B17,"-2",BL_FactSheet_Bundesland,"-2","Alle","-2","anzahl_beteiligungen")</f>
        <v>66</v>
      </c>
      <c r="J17" s="86">
        <f ca="1">_xll.PALO.DATAC("jedoxtest/EU_PM_CUBE02","EUPM_Mittel2_Cube",$C$65,"Alle Beteiligungen","Alle Koordinatoren","Alle Unternehmensgrößen","-2","Alle Organisationstypen",5,"Alle Expertevaluierungsstatus",$B17,"-2",BL_FactSheet_Bundesland,"-2","Alle","-2","anzahl_beteiligungen")</f>
        <v>265</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31</v>
      </c>
      <c r="E18" s="86">
        <f t="shared" ca="1" si="0"/>
        <v>0</v>
      </c>
      <c r="F18" s="86">
        <f t="shared" ca="1" si="2"/>
        <v>90</v>
      </c>
      <c r="G18" s="80"/>
      <c r="H18" s="86">
        <f ca="1">_xll.PALO.DATAC("jedoxtest/EU_PM_CUBE02","EUPM_Mittel2_Cube",$C$65,"Alle Beteiligungen","Alle Koordinatoren","Alle Unternehmensgrößen","-2","Alle Organisationstypen",28,"Alle Expertevaluierungsstatus",$B18,"-2",BL_FactSheet_Bundesland,"-2","Alle","-2","anzahl_beteiligungen")</f>
        <v>31</v>
      </c>
      <c r="I18" s="87">
        <f ca="1">_xll.PALO.DATAC("jedoxtest/EU_PM_CUBE02","EUPM_Mittel2_Cube",$C$65,"Alle Beteiligungen","Alle Koordinatoren","Alle Unternehmensgrößen","-2","Alle Organisationstypen",28,"Alle Expertevaluierungsstatus",$B18,"-2",BL_FactSheet_Bundesland,"-2","Alle","-2","anzahl_beteiligungen")</f>
        <v>31</v>
      </c>
      <c r="J18" s="86">
        <f ca="1">_xll.PALO.DATAC("jedoxtest/EU_PM_CUBE02","EUPM_Mittel2_Cube",$C$65,"Alle Beteiligungen","Alle Koordinatoren","Alle Unternehmensgrößen","-2","Alle Organisationstypen",5,"Alle Expertevaluierungsstatus",$B18,"-2",BL_FactSheet_Bundesland,"-2","Alle","-2","anzahl_beteiligungen")</f>
        <v>121</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9</v>
      </c>
      <c r="E19" s="86">
        <f t="shared" ca="1" si="0"/>
        <v>0</v>
      </c>
      <c r="F19" s="86">
        <f t="shared" ca="1" si="2"/>
        <v>29</v>
      </c>
      <c r="G19" s="80"/>
      <c r="H19" s="86">
        <f ca="1">_xll.PALO.DATAC("jedoxtest/EU_PM_CUBE02","EUPM_Mittel2_Cube",$C$65,"Alle Beteiligungen","Alle Koordinatoren","Alle Unternehmensgrößen","-2","Alle Organisationstypen",28,"Alle Expertevaluierungsstatus",$B19,"-2",BL_FactSheet_Bundesland,"-2","Alle","-2","anzahl_beteiligungen")</f>
        <v>9</v>
      </c>
      <c r="I19" s="87">
        <f ca="1">_xll.PALO.DATAC("jedoxtest/EU_PM_CUBE02","EUPM_Mittel2_Cube",$C$65,"Alle Beteiligungen","Alle Koordinatoren","Alle Unternehmensgrößen","-2","Alle Organisationstypen",28,"Alle Expertevaluierungsstatus",$B19,"-2",BL_FactSheet_Bundesland,"-2","Alle","-2","anzahl_beteiligungen")</f>
        <v>9</v>
      </c>
      <c r="J19" s="86">
        <f ca="1">_xll.PALO.DATAC("jedoxtest/EU_PM_CUBE02","EUPM_Mittel2_Cube",$C$65,"Alle Beteiligungen","Alle Koordinatoren","Alle Unternehmensgrößen","-2","Alle Organisationstypen",5,"Alle Expertevaluierungsstatus",$B19,"-2",BL_FactSheet_Bundesland,"-2","Alle","-2","anzahl_beteiligungen")</f>
        <v>38</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2</v>
      </c>
      <c r="E21" s="86">
        <f t="shared" ca="1" si="0"/>
        <v>0</v>
      </c>
      <c r="F21" s="86">
        <f t="shared" ca="1" si="2"/>
        <v>41</v>
      </c>
      <c r="G21" s="80"/>
      <c r="H21" s="86">
        <f ca="1">_xll.PALO.DATAC("jedoxtest/EU_PM_CUBE02","EUPM_Mittel2_Cube",$C$65,"Alle Beteiligungen","Alle Koordinatoren","Alle Unternehmensgrößen","-2","Alle Organisationstypen",28,"Alle Expertevaluierungsstatus",$B21,"-2",BL_FactSheet_Bundesland,"-2","Alle","-2","anzahl_beteiligungen")</f>
        <v>2</v>
      </c>
      <c r="I21" s="87">
        <f ca="1">_xll.PALO.DATAC("jedoxtest/EU_PM_CUBE02","EUPM_Mittel2_Cube",$C$65,"Alle Beteiligungen","Alle Koordinatoren","Alle Unternehmensgrößen","-2","Alle Organisationstypen",28,"Alle Expertevaluierungsstatus",$B21,"-2",BL_FactSheet_Bundesland,"-2","Alle","-2","anzahl_beteiligungen")</f>
        <v>2</v>
      </c>
      <c r="J21" s="86">
        <f ca="1">_xll.PALO.DATAC("jedoxtest/EU_PM_CUBE02","EUPM_Mittel2_Cube",$C$65,"Alle Beteiligungen","Alle Koordinatoren","Alle Unternehmensgrößen","-2","Alle Organisationstypen",5,"Alle Expertevaluierungsstatus",$B21,"-2",BL_FactSheet_Bundesland,"-2","Alle","-2","anzahl_beteiligungen")</f>
        <v>43</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0</v>
      </c>
      <c r="E22" s="86">
        <f t="shared" ca="1" si="0"/>
        <v>0</v>
      </c>
      <c r="F22" s="86">
        <f t="shared" ca="1" si="2"/>
        <v>5</v>
      </c>
      <c r="G22" s="80"/>
      <c r="H22" s="86">
        <f ca="1">_xll.PALO.DATAC("jedoxtest/EU_PM_CUBE02","EUPM_Mittel2_Cube",$C$65,"Alle Beteiligungen","Alle Koordinatoren","Alle Unternehmensgrößen","-2","Alle Organisationstypen",28,"Alle Expertevaluierungsstatus",$B22,"-2",BL_FactSheet_Bundesland,"-2","Alle","-2","anzahl_beteiligungen")</f>
        <v>0</v>
      </c>
      <c r="I22" s="87">
        <f ca="1">_xll.PALO.DATAC("jedoxtest/EU_PM_CUBE02","EUPM_Mittel2_Cube",$C$65,"Alle Beteiligungen","Alle Koordinatoren","Alle Unternehmensgrößen","-2","Alle Organisationstypen",28,"Alle Expertevaluierungsstatus",$B22,"-2",BL_FactSheet_Bundesland,"-2","Alle","-2","anzahl_beteiligungen")</f>
        <v>0</v>
      </c>
      <c r="J22" s="86">
        <f ca="1">_xll.PALO.DATAC("jedoxtest/EU_PM_CUBE02","EUPM_Mittel2_Cube",$C$65,"Alle Beteiligungen","Alle Koordinatoren","Alle Unternehmensgrößen","-2","Alle Organisationstypen",5,"Alle Expertevaluierungsstatus",$B22,"-2",BL_FactSheet_Bundesland,"-2","Alle","-2","anzahl_beteiligungen")</f>
        <v>5</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2</v>
      </c>
      <c r="E25" s="86">
        <f t="shared" ca="1" si="0"/>
        <v>0</v>
      </c>
      <c r="F25" s="86">
        <f t="shared" ca="1" si="2"/>
        <v>3</v>
      </c>
      <c r="G25" s="80"/>
      <c r="H25" s="86">
        <f ca="1">_xll.PALO.DATAC("jedoxtest/EU_PM_CUBE02","EUPM_Mittel2_Cube",$C$65,"Alle Beteiligungen","Alle Koordinatoren","Alle Unternehmensgrößen","-2","Alle Organisationstypen",28,"Alle Expertevaluierungsstatus",$B25,"-2",BL_FactSheet_Bundesland,"-2","Alle","-2","anzahl_beteiligungen")</f>
        <v>2</v>
      </c>
      <c r="I25" s="87">
        <f ca="1">_xll.PALO.DATAC("jedoxtest/EU_PM_CUBE02","EUPM_Mittel2_Cube",$C$65,"Alle Beteiligungen","Alle Koordinatoren","Alle Unternehmensgrößen","-2","Alle Organisationstypen",28,"Alle Expertevaluierungsstatus",$B25,"-2",BL_FactSheet_Bundesland,"-2","Alle","-2","anzahl_beteiligungen")</f>
        <v>2</v>
      </c>
      <c r="J25" s="86">
        <f ca="1">_xll.PALO.DATAC("jedoxtest/EU_PM_CUBE02","EUPM_Mittel2_Cube",$C$65,"Alle Beteiligungen","Alle Koordinatoren","Alle Unternehmensgrößen","-2","Alle Organisationstypen",5,"Alle Expertevaluierungsstatus",$B25,"-2",BL_FactSheet_Bundesland,"-2","Alle","-2","anzahl_beteiligungen")</f>
        <v>5</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0</v>
      </c>
      <c r="E26" s="86">
        <f t="shared" ca="1" si="0"/>
        <v>0</v>
      </c>
      <c r="F26" s="86">
        <f t="shared" ca="1" si="2"/>
        <v>0</v>
      </c>
      <c r="G26" s="80"/>
      <c r="H26" s="86">
        <f ca="1">_xll.PALO.DATAC("jedoxtest/EU_PM_CUBE02","EUPM_Mittel2_Cube",$C$65,"Alle Beteiligungen","Alle Koordinatoren","Alle Unternehmensgrößen","-2","Alle Organisationstypen",28,"Alle Expertevaluierungsstatus",$B26,"-2",BL_FactSheet_Bundesland,"-2","Alle","-2","anzahl_beteiligungen")</f>
        <v>0</v>
      </c>
      <c r="I26" s="87">
        <f ca="1">_xll.PALO.DATAC("jedoxtest/EU_PM_CUBE02","EUPM_Mittel2_Cube",$C$65,"Alle Beteiligungen","Alle Koordinatoren","Alle Unternehmensgrößen","-2","Alle Organisationstypen",28,"Alle Expertevaluierungsstatus",$B26,"-2",BL_FactSheet_Bundesland,"-2","Alle","-2","anzahl_beteiligungen")</f>
        <v>0</v>
      </c>
      <c r="J26" s="86">
        <f ca="1">_xll.PALO.DATAC("jedoxtest/EU_PM_CUBE02","EUPM_Mittel2_Cube",$C$65,"Alle Beteiligungen","Alle Koordinatoren","Alle Unternehmensgrößen","-2","Alle Organisationstypen",5,"Alle Expertevaluierungsstatus",$B26,"-2",BL_FactSheet_Bundesland,"-2","Alle","-2","anzahl_beteiligungen")</f>
        <v>0</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Kärnten</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128</v>
      </c>
      <c r="D38" s="101" t="str">
        <f ca="1">TEXT(_xll.PALO.DATAC("jedoxtest/EU_PM_CUBE02","EUPM_Mittel2_Cube",$C$65,"Alle Beteiligungen","Alle Koordinatoren","Alle Unternehmensgrößen","-2","Alle Organisationstypen",28,"Alle Expertevaluierungsstatus","-2","-2",BL_FactSheet_Bundesland,"-2","Alle","-2","foerderung"),"#.##0,0..")&amp;" Mio. €"</f>
        <v>46,5 Mio. €</v>
      </c>
      <c r="E38" s="101">
        <f ca="1">_xll.PALO.DATAC("jedoxtest/EU_PM_CUBE02","EUPM_Mittel2_Cube",$C$65,"Alle Beteiligungen","Alle Koordinatoren","Alle Unternehmensgrößen","-2","Alle Organisationstypen",28,"Alle Expertevaluierungsstatus","-2","-2",BL_FactSheet_Bundesland,"-2","Alle","-2","anzahl_koordinatoren")</f>
        <v>11</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3.2661393212554221E-2</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2.5038197130631212E-2</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1.4211886304909561E-2</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202</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248</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249</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395</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344</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26.639 Mio. €</v>
      </c>
      <c r="D52" s="105" t="str">
        <f>TEXT(VLOOKUP($D$65,uebbneu_Factsheet_AT!$C$72:$G$81,4,FALSE),"#.##0..")&amp;" Mio. €"</f>
        <v>995 Mio. €</v>
      </c>
      <c r="E52" s="106">
        <f>VLOOKUP($D$65,uebbneu_Factsheet_AT!$C$72:$G$81,5,FALSE)</f>
        <v>3.7352152858590788E-2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Kärnten: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17</v>
      </c>
      <c r="F60" s="93">
        <f ca="1">_xll.PALO.DATAC("jedoxtest/EU_PM_CUBE02","EUPM_Mittel2_Cube",$C$65,"Alle Beteiligungen","Alle Koordinatoren","Alle Unternehmensgrößen","-2",$C60,28,"Alle Expertevaluierungsstatus","-2","-2",BL_FactSheet_Bundesland,"-2","Alle","-2","anzahl_beteiligungen")/$C$38*100</f>
        <v>13.28125</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91</v>
      </c>
      <c r="F61" s="93">
        <f ca="1">_xll.PALO.DATAC("jedoxtest/EU_PM_CUBE02","EUPM_Mittel2_Cube",$C$65,"Alle Beteiligungen","Alle Koordinatoren","Alle Unternehmensgrößen","-2",$C61,28,"Alle Expertevaluierungsstatus","-2","-2",BL_FactSheet_Bundesland,"-2","Alle","-2","anzahl_beteiligungen")/$C$38*100</f>
        <v>71.09375</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12</v>
      </c>
      <c r="F62" s="93">
        <f ca="1">_xll.PALO.DATAC("jedoxtest/EU_PM_CUBE02","EUPM_Mittel2_Cube",$C$65,"Alle Beteiligungen","Alle Koordinatoren","Alle Unternehmensgrößen","-2",$C62,28,"Alle Expertevaluierungsstatus","-2","-2",BL_FactSheet_Bundesland,"-2","Alle","-2","anzahl_beteiligungen")/$C$38*100</f>
        <v>9.375</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3</v>
      </c>
      <c r="F63" s="93">
        <f ca="1">_xll.PALO.DATAC("jedoxtest/EU_PM_CUBE02","EUPM_Mittel2_Cube",$C$65,"Alle Beteiligungen","Alle Koordinatoren","Alle Unternehmensgrößen","-2",$C63,28,"Alle Expertevaluierungsstatus","-2","-2",BL_FactSheet_Bundesland,"-2","Alle","-2","anzahl_beteiligungen")/$C$38*100</f>
        <v>2.34375</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5</v>
      </c>
      <c r="F64" s="93">
        <f ca="1">_xll.PALO.DATAC("jedoxtest/EU_PM_CUBE02","EUPM_Mittel2_Cube",$C$65,"Alle Beteiligungen","Alle Koordinatoren","Alle Unternehmensgrößen","-2",$C64,28,"Alle Expertevaluierungsstatus","-2","-2",BL_FactSheet_Bundesland,"-2","Alle","-2","anzahl_beteiligungen")/$C$38*100</f>
        <v>3.90625</v>
      </c>
      <c r="G64" s="90"/>
      <c r="H64" s="90"/>
      <c r="I64" s="90"/>
      <c r="J64" s="90"/>
    </row>
    <row r="65" spans="3:10">
      <c r="C65" s="413" t="str">
        <f ca="1">_xll.PALO.ENAME("jedoxtest/EU_PM_CUBE02","Datenstand",3)</f>
        <v>117</v>
      </c>
      <c r="D65" s="91">
        <v>18</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71" priority="1">
      <formula>$D36=2</formula>
    </cfRule>
  </conditionalFormatting>
  <conditionalFormatting sqref="C38:C40">
    <cfRule type="expression" dxfId="70" priority="5">
      <formula>$D38=2</formula>
    </cfRule>
  </conditionalFormatting>
  <conditionalFormatting sqref="C42:E42">
    <cfRule type="expression" dxfId="69" priority="2">
      <formula>$D42=2</formula>
    </cfRule>
  </conditionalFormatting>
  <conditionalFormatting sqref="D38:E39">
    <cfRule type="expression" dxfId="68" priority="3">
      <formula>$D38=2</formula>
    </cfRule>
  </conditionalFormatting>
  <conditionalFormatting sqref="F10:F12 F14:F19 F21:F23 F25:F26 F28:F31">
    <cfRule type="expression" dxfId="67" priority="97">
      <formula>$B9=2</formula>
    </cfRule>
  </conditionalFormatting>
  <conditionalFormatting sqref="F10:F31">
    <cfRule type="expression" dxfId="66" priority="6">
      <formula>$B10=2</formula>
    </cfRule>
  </conditionalFormatting>
  <conditionalFormatting sqref="F13 F20 F24">
    <cfRule type="expression" dxfId="65" priority="100">
      <formula>#REF!=2</formula>
    </cfRule>
  </conditionalFormatting>
  <conditionalFormatting sqref="F27">
    <cfRule type="expression" dxfId="64" priority="103">
      <formula>#REF!=2</formula>
    </cfRule>
  </conditionalFormatting>
  <conditionalFormatting sqref="H10:J31">
    <cfRule type="expression" dxfId="63"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5">
    <tabColor rgb="FF92D050"/>
    <pageSetUpPr fitToPage="1"/>
  </sheetPr>
  <dimension ref="A1:IV85"/>
  <sheetViews>
    <sheetView topLeftCell="A33" zoomScaleNormal="100" workbookViewId="0">
      <selection activeCell="A33" sqref="A33"/>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Niederösterreich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42</v>
      </c>
      <c r="E10" s="86">
        <f t="shared" ref="E10:E28" ca="1" si="0">IF(I10=0,0,ABS(H10-I10))</f>
        <v>0</v>
      </c>
      <c r="F10" s="86">
        <f ca="1">J10-H10-E10</f>
        <v>61</v>
      </c>
      <c r="G10" s="80"/>
      <c r="H10" s="86">
        <f ca="1">_xll.PALO.DATAC("jedoxtest/EU_PM_CUBE02","EUPM_Mittel2_Cube",$C$65,"Alle Beteiligungen","Alle Koordinatoren","Alle Unternehmensgrößen","-2","Alle Organisationstypen",28,"Alle Expertevaluierungsstatus",$B10,"-2",BL_FactSheet_Bundesland,"-2","Alle","-2","anzahl_beteiligungen")</f>
        <v>42</v>
      </c>
      <c r="I10" s="87">
        <f ca="1">_xll.PALO.DATAC("jedoxtest/EU_PM_CUBE02","EUPM_Mittel2_Cube",$C$65,"Alle Beteiligungen","Alle Koordinatoren","Alle Unternehmensgrößen","-2","Alle Organisationstypen",28,"Alle Expertevaluierungsstatus",$B10,"-2",BL_FactSheet_Bundesland,"-2","Alle","-2","anzahl_beteiligungen")</f>
        <v>42</v>
      </c>
      <c r="J10" s="86">
        <f ca="1">_xll.PALO.DATAC("jedoxtest/EU_PM_CUBE02","EUPM_Mittel2_Cube",$C$65,"Alle Beteiligungen","Alle Koordinatoren","Alle Unternehmensgrößen","-2","Alle Organisationstypen",5,"Alle Expertevaluierungsstatus",$B10,"-2",BL_FactSheet_Bundesland,"-2","Alle","-2","anzahl_beteiligungen")</f>
        <v>103</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64</v>
      </c>
      <c r="E11" s="86">
        <f t="shared" ca="1" si="0"/>
        <v>0</v>
      </c>
      <c r="F11" s="86">
        <f t="shared" ref="F11:F28" ca="1" si="2">J11-H11-E11</f>
        <v>278</v>
      </c>
      <c r="G11" s="80"/>
      <c r="H11" s="86">
        <f ca="1">_xll.PALO.DATAC("jedoxtest/EU_PM_CUBE02","EUPM_Mittel2_Cube",$C$65,"Alle Beteiligungen","Alle Koordinatoren","Alle Unternehmensgrößen","-2","Alle Organisationstypen",28,"Alle Expertevaluierungsstatus",$B11,"-2",BL_FactSheet_Bundesland,"-2","Alle","-2","anzahl_beteiligungen")</f>
        <v>64</v>
      </c>
      <c r="I11" s="87">
        <f ca="1">_xll.PALO.DATAC("jedoxtest/EU_PM_CUBE02","EUPM_Mittel2_Cube",$C$65,"Alle Beteiligungen","Alle Koordinatoren","Alle Unternehmensgrößen","-2","Alle Organisationstypen",28,"Alle Expertevaluierungsstatus",$B11,"-2",BL_FactSheet_Bundesland,"-2","Alle","-2","anzahl_beteiligungen")</f>
        <v>64</v>
      </c>
      <c r="J11" s="86">
        <f ca="1">_xll.PALO.DATAC("jedoxtest/EU_PM_CUBE02","EUPM_Mittel2_Cube",$C$65,"Alle Beteiligungen","Alle Koordinatoren","Alle Unternehmensgrößen","-2","Alle Organisationstypen",5,"Alle Expertevaluierungsstatus",$B11,"-2",BL_FactSheet_Bundesland,"-2","Alle","-2","anzahl_beteiligungen")</f>
        <v>342</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6</v>
      </c>
      <c r="E12" s="86">
        <f t="shared" ca="1" si="0"/>
        <v>0</v>
      </c>
      <c r="F12" s="86">
        <f t="shared" ca="1" si="2"/>
        <v>3</v>
      </c>
      <c r="G12" s="80"/>
      <c r="H12" s="86">
        <f ca="1">_xll.PALO.DATAC("jedoxtest/EU_PM_CUBE02","EUPM_Mittel2_Cube",$C$65,"Alle Beteiligungen","Alle Koordinatoren","Alle Unternehmensgrößen","-2","Alle Organisationstypen",28,"Alle Expertevaluierungsstatus",$B12,"-2",BL_FactSheet_Bundesland,"-2","Alle","-2","anzahl_beteiligungen")</f>
        <v>6</v>
      </c>
      <c r="I12" s="87">
        <f ca="1">_xll.PALO.DATAC("jedoxtest/EU_PM_CUBE02","EUPM_Mittel2_Cube",$C$65,"Alle Beteiligungen","Alle Koordinatoren","Alle Unternehmensgrößen","-2","Alle Organisationstypen",28,"Alle Expertevaluierungsstatus",$B12,"-2",BL_FactSheet_Bundesland,"-2","Alle","-2","anzahl_beteiligungen")</f>
        <v>6</v>
      </c>
      <c r="J12" s="86">
        <f ca="1">_xll.PALO.DATAC("jedoxtest/EU_PM_CUBE02","EUPM_Mittel2_Cube",$C$65,"Alle Beteiligungen","Alle Koordinatoren","Alle Unternehmensgrößen","-2","Alle Organisationstypen",5,"Alle Expertevaluierungsstatus",$B12,"-2",BL_FactSheet_Bundesland,"-2","Alle","-2","anzahl_beteiligungen")</f>
        <v>9</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8</v>
      </c>
      <c r="E14" s="86">
        <f t="shared" ca="1" si="0"/>
        <v>0</v>
      </c>
      <c r="F14" s="86">
        <f t="shared" ca="1" si="2"/>
        <v>42</v>
      </c>
      <c r="G14" s="80"/>
      <c r="H14" s="86">
        <f ca="1">_xll.PALO.DATAC("jedoxtest/EU_PM_CUBE02","EUPM_Mittel2_Cube",$C$65,"Alle Beteiligungen","Alle Koordinatoren","Alle Unternehmensgrößen","-2","Alle Organisationstypen",28,"Alle Expertevaluierungsstatus",$B14,"-2",BL_FactSheet_Bundesland,"-2","Alle","-2","anzahl_beteiligungen")</f>
        <v>8</v>
      </c>
      <c r="I14" s="87">
        <f ca="1">_xll.PALO.DATAC("jedoxtest/EU_PM_CUBE02","EUPM_Mittel2_Cube",$C$65,"Alle Beteiligungen","Alle Koordinatoren","Alle Unternehmensgrößen","-2","Alle Organisationstypen",28,"Alle Expertevaluierungsstatus",$B14,"-2",BL_FactSheet_Bundesland,"-2","Alle","-2","anzahl_beteiligungen")</f>
        <v>8</v>
      </c>
      <c r="J14" s="86">
        <f ca="1">_xll.PALO.DATAC("jedoxtest/EU_PM_CUBE02","EUPM_Mittel2_Cube",$C$65,"Alle Beteiligungen","Alle Koordinatoren","Alle Unternehmensgrößen","-2","Alle Organisationstypen",5,"Alle Expertevaluierungsstatus",$B14,"-2",BL_FactSheet_Bundesland,"-2","Alle","-2","anzahl_beteiligungen")</f>
        <v>50</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13</v>
      </c>
      <c r="E15" s="86">
        <f t="shared" ca="1" si="0"/>
        <v>0</v>
      </c>
      <c r="F15" s="86">
        <f t="shared" ca="1" si="2"/>
        <v>89</v>
      </c>
      <c r="G15" s="80"/>
      <c r="H15" s="86">
        <f ca="1">_xll.PALO.DATAC("jedoxtest/EU_PM_CUBE02","EUPM_Mittel2_Cube",$C$65,"Alle Beteiligungen","Alle Koordinatoren","Alle Unternehmensgrößen","-2","Alle Organisationstypen",28,"Alle Expertevaluierungsstatus",$B15,"-2",BL_FactSheet_Bundesland,"-2","Alle","-2","anzahl_beteiligungen")</f>
        <v>13</v>
      </c>
      <c r="I15" s="87">
        <f ca="1">_xll.PALO.DATAC("jedoxtest/EU_PM_CUBE02","EUPM_Mittel2_Cube",$C$65,"Alle Beteiligungen","Alle Koordinatoren","Alle Unternehmensgrößen","-2","Alle Organisationstypen",28,"Alle Expertevaluierungsstatus",$B15,"-2",BL_FactSheet_Bundesland,"-2","Alle","-2","anzahl_beteiligungen")</f>
        <v>13</v>
      </c>
      <c r="J15" s="86">
        <f ca="1">_xll.PALO.DATAC("jedoxtest/EU_PM_CUBE02","EUPM_Mittel2_Cube",$C$65,"Alle Beteiligungen","Alle Koordinatoren","Alle Unternehmensgrößen","-2","Alle Organisationstypen",5,"Alle Expertevaluierungsstatus",$B15,"-2",BL_FactSheet_Bundesland,"-2","Alle","-2","anzahl_beteiligungen")</f>
        <v>102</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4</v>
      </c>
      <c r="E16" s="86">
        <f t="shared" ca="1" si="0"/>
        <v>0</v>
      </c>
      <c r="F16" s="86">
        <f t="shared" ca="1" si="2"/>
        <v>40</v>
      </c>
      <c r="G16" s="80"/>
      <c r="H16" s="86">
        <f ca="1">_xll.PALO.DATAC("jedoxtest/EU_PM_CUBE02","EUPM_Mittel2_Cube",$C$65,"Alle Beteiligungen","Alle Koordinatoren","Alle Unternehmensgrößen","-2","Alle Organisationstypen",28,"Alle Expertevaluierungsstatus",$B16,"-2",BL_FactSheet_Bundesland,"-2","Alle","-2","anzahl_beteiligungen")</f>
        <v>4</v>
      </c>
      <c r="I16" s="87">
        <f ca="1">_xll.PALO.DATAC("jedoxtest/EU_PM_CUBE02","EUPM_Mittel2_Cube",$C$65,"Alle Beteiligungen","Alle Koordinatoren","Alle Unternehmensgrößen","-2","Alle Organisationstypen",28,"Alle Expertevaluierungsstatus",$B16,"-2",BL_FactSheet_Bundesland,"-2","Alle","-2","anzahl_beteiligungen")</f>
        <v>4</v>
      </c>
      <c r="J16" s="86">
        <f ca="1">_xll.PALO.DATAC("jedoxtest/EU_PM_CUBE02","EUPM_Mittel2_Cube",$C$65,"Alle Beteiligungen","Alle Koordinatoren","Alle Unternehmensgrößen","-2","Alle Organisationstypen",5,"Alle Expertevaluierungsstatus",$B16,"-2",BL_FactSheet_Bundesland,"-2","Alle","-2","anzahl_beteiligungen")</f>
        <v>44</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36</v>
      </c>
      <c r="E17" s="86">
        <f t="shared" ca="1" si="0"/>
        <v>0</v>
      </c>
      <c r="F17" s="86">
        <f t="shared" ca="1" si="2"/>
        <v>102</v>
      </c>
      <c r="G17" s="80"/>
      <c r="H17" s="86">
        <f ca="1">_xll.PALO.DATAC("jedoxtest/EU_PM_CUBE02","EUPM_Mittel2_Cube",$C$65,"Alle Beteiligungen","Alle Koordinatoren","Alle Unternehmensgrößen","-2","Alle Organisationstypen",28,"Alle Expertevaluierungsstatus",$B17,"-2",BL_FactSheet_Bundesland,"-2","Alle","-2","anzahl_beteiligungen")</f>
        <v>36</v>
      </c>
      <c r="I17" s="87">
        <f ca="1">_xll.PALO.DATAC("jedoxtest/EU_PM_CUBE02","EUPM_Mittel2_Cube",$C$65,"Alle Beteiligungen","Alle Koordinatoren","Alle Unternehmensgrößen","-2","Alle Organisationstypen",28,"Alle Expertevaluierungsstatus",$B17,"-2",BL_FactSheet_Bundesland,"-2","Alle","-2","anzahl_beteiligungen")</f>
        <v>36</v>
      </c>
      <c r="J17" s="86">
        <f ca="1">_xll.PALO.DATAC("jedoxtest/EU_PM_CUBE02","EUPM_Mittel2_Cube",$C$65,"Alle Beteiligungen","Alle Koordinatoren","Alle Unternehmensgrößen","-2","Alle Organisationstypen",5,"Alle Expertevaluierungsstatus",$B17,"-2",BL_FactSheet_Bundesland,"-2","Alle","-2","anzahl_beteiligungen")</f>
        <v>138</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74</v>
      </c>
      <c r="E18" s="86">
        <f t="shared" ca="1" si="0"/>
        <v>0</v>
      </c>
      <c r="F18" s="86">
        <f t="shared" ca="1" si="2"/>
        <v>186</v>
      </c>
      <c r="G18" s="80"/>
      <c r="H18" s="86">
        <f ca="1">_xll.PALO.DATAC("jedoxtest/EU_PM_CUBE02","EUPM_Mittel2_Cube",$C$65,"Alle Beteiligungen","Alle Koordinatoren","Alle Unternehmensgrößen","-2","Alle Organisationstypen",28,"Alle Expertevaluierungsstatus",$B18,"-2",BL_FactSheet_Bundesland,"-2","Alle","-2","anzahl_beteiligungen")</f>
        <v>74</v>
      </c>
      <c r="I18" s="87">
        <f ca="1">_xll.PALO.DATAC("jedoxtest/EU_PM_CUBE02","EUPM_Mittel2_Cube",$C$65,"Alle Beteiligungen","Alle Koordinatoren","Alle Unternehmensgrößen","-2","Alle Organisationstypen",28,"Alle Expertevaluierungsstatus",$B18,"-2",BL_FactSheet_Bundesland,"-2","Alle","-2","anzahl_beteiligungen")</f>
        <v>74</v>
      </c>
      <c r="J18" s="86">
        <f ca="1">_xll.PALO.DATAC("jedoxtest/EU_PM_CUBE02","EUPM_Mittel2_Cube",$C$65,"Alle Beteiligungen","Alle Koordinatoren","Alle Unternehmensgrößen","-2","Alle Organisationstypen",5,"Alle Expertevaluierungsstatus",$B18,"-2",BL_FactSheet_Bundesland,"-2","Alle","-2","anzahl_beteiligungen")</f>
        <v>260</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70</v>
      </c>
      <c r="E19" s="86">
        <f t="shared" ca="1" si="0"/>
        <v>0</v>
      </c>
      <c r="F19" s="86">
        <f t="shared" ca="1" si="2"/>
        <v>181</v>
      </c>
      <c r="G19" s="80"/>
      <c r="H19" s="86">
        <f ca="1">_xll.PALO.DATAC("jedoxtest/EU_PM_CUBE02","EUPM_Mittel2_Cube",$C$65,"Alle Beteiligungen","Alle Koordinatoren","Alle Unternehmensgrößen","-2","Alle Organisationstypen",28,"Alle Expertevaluierungsstatus",$B19,"-2",BL_FactSheet_Bundesland,"-2","Alle","-2","anzahl_beteiligungen")</f>
        <v>70</v>
      </c>
      <c r="I19" s="87">
        <f ca="1">_xll.PALO.DATAC("jedoxtest/EU_PM_CUBE02","EUPM_Mittel2_Cube",$C$65,"Alle Beteiligungen","Alle Koordinatoren","Alle Unternehmensgrößen","-2","Alle Organisationstypen",28,"Alle Expertevaluierungsstatus",$B19,"-2",BL_FactSheet_Bundesland,"-2","Alle","-2","anzahl_beteiligungen")</f>
        <v>70</v>
      </c>
      <c r="J19" s="86">
        <f ca="1">_xll.PALO.DATAC("jedoxtest/EU_PM_CUBE02","EUPM_Mittel2_Cube",$C$65,"Alle Beteiligungen","Alle Koordinatoren","Alle Unternehmensgrößen","-2","Alle Organisationstypen",5,"Alle Expertevaluierungsstatus",$B19,"-2",BL_FactSheet_Bundesland,"-2","Alle","-2","anzahl_beteiligungen")</f>
        <v>251</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24</v>
      </c>
      <c r="E21" s="86">
        <f t="shared" ca="1" si="0"/>
        <v>0</v>
      </c>
      <c r="F21" s="86">
        <f t="shared" ca="1" si="2"/>
        <v>123</v>
      </c>
      <c r="G21" s="80"/>
      <c r="H21" s="86">
        <f ca="1">_xll.PALO.DATAC("jedoxtest/EU_PM_CUBE02","EUPM_Mittel2_Cube",$C$65,"Alle Beteiligungen","Alle Koordinatoren","Alle Unternehmensgrößen","-2","Alle Organisationstypen",28,"Alle Expertevaluierungsstatus",$B21,"-2",BL_FactSheet_Bundesland,"-2","Alle","-2","anzahl_beteiligungen")</f>
        <v>24</v>
      </c>
      <c r="I21" s="87">
        <f ca="1">_xll.PALO.DATAC("jedoxtest/EU_PM_CUBE02","EUPM_Mittel2_Cube",$C$65,"Alle Beteiligungen","Alle Koordinatoren","Alle Unternehmensgrößen","-2","Alle Organisationstypen",28,"Alle Expertevaluierungsstatus",$B21,"-2",BL_FactSheet_Bundesland,"-2","Alle","-2","anzahl_beteiligungen")</f>
        <v>24</v>
      </c>
      <c r="J21" s="86">
        <f ca="1">_xll.PALO.DATAC("jedoxtest/EU_PM_CUBE02","EUPM_Mittel2_Cube",$C$65,"Alle Beteiligungen","Alle Koordinatoren","Alle Unternehmensgrößen","-2","Alle Organisationstypen",5,"Alle Expertevaluierungsstatus",$B21,"-2",BL_FactSheet_Bundesland,"-2","Alle","-2","anzahl_beteiligungen")</f>
        <v>147</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5</v>
      </c>
      <c r="E22" s="86">
        <f t="shared" ca="1" si="0"/>
        <v>0</v>
      </c>
      <c r="F22" s="86">
        <f t="shared" ca="1" si="2"/>
        <v>17</v>
      </c>
      <c r="G22" s="80"/>
      <c r="H22" s="86">
        <f ca="1">_xll.PALO.DATAC("jedoxtest/EU_PM_CUBE02","EUPM_Mittel2_Cube",$C$65,"Alle Beteiligungen","Alle Koordinatoren","Alle Unternehmensgrößen","-2","Alle Organisationstypen",28,"Alle Expertevaluierungsstatus",$B22,"-2",BL_FactSheet_Bundesland,"-2","Alle","-2","anzahl_beteiligungen")</f>
        <v>5</v>
      </c>
      <c r="I22" s="87">
        <f ca="1">_xll.PALO.DATAC("jedoxtest/EU_PM_CUBE02","EUPM_Mittel2_Cube",$C$65,"Alle Beteiligungen","Alle Koordinatoren","Alle Unternehmensgrößen","-2","Alle Organisationstypen",28,"Alle Expertevaluierungsstatus",$B22,"-2",BL_FactSheet_Bundesland,"-2","Alle","-2","anzahl_beteiligungen")</f>
        <v>5</v>
      </c>
      <c r="J22" s="86">
        <f ca="1">_xll.PALO.DATAC("jedoxtest/EU_PM_CUBE02","EUPM_Mittel2_Cube",$C$65,"Alle Beteiligungen","Alle Koordinatoren","Alle Unternehmensgrößen","-2","Alle Organisationstypen",5,"Alle Expertevaluierungsstatus",$B22,"-2",BL_FactSheet_Bundesland,"-2","Alle","-2","anzahl_beteiligungen")</f>
        <v>22</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4</v>
      </c>
      <c r="E25" s="86">
        <f t="shared" ca="1" si="0"/>
        <v>0</v>
      </c>
      <c r="F25" s="86">
        <f t="shared" ca="1" si="2"/>
        <v>17</v>
      </c>
      <c r="G25" s="80"/>
      <c r="H25" s="86">
        <f ca="1">_xll.PALO.DATAC("jedoxtest/EU_PM_CUBE02","EUPM_Mittel2_Cube",$C$65,"Alle Beteiligungen","Alle Koordinatoren","Alle Unternehmensgrößen","-2","Alle Organisationstypen",28,"Alle Expertevaluierungsstatus",$B25,"-2",BL_FactSheet_Bundesland,"-2","Alle","-2","anzahl_beteiligungen")</f>
        <v>4</v>
      </c>
      <c r="I25" s="87">
        <f ca="1">_xll.PALO.DATAC("jedoxtest/EU_PM_CUBE02","EUPM_Mittel2_Cube",$C$65,"Alle Beteiligungen","Alle Koordinatoren","Alle Unternehmensgrößen","-2","Alle Organisationstypen",28,"Alle Expertevaluierungsstatus",$B25,"-2",BL_FactSheet_Bundesland,"-2","Alle","-2","anzahl_beteiligungen")</f>
        <v>4</v>
      </c>
      <c r="J25" s="86">
        <f ca="1">_xll.PALO.DATAC("jedoxtest/EU_PM_CUBE02","EUPM_Mittel2_Cube",$C$65,"Alle Beteiligungen","Alle Koordinatoren","Alle Unternehmensgrößen","-2","Alle Organisationstypen",5,"Alle Expertevaluierungsstatus",$B25,"-2",BL_FactSheet_Bundesland,"-2","Alle","-2","anzahl_beteiligungen")</f>
        <v>21</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5</v>
      </c>
      <c r="E26" s="86">
        <f t="shared" ca="1" si="0"/>
        <v>0</v>
      </c>
      <c r="F26" s="86">
        <f t="shared" ca="1" si="2"/>
        <v>6</v>
      </c>
      <c r="G26" s="80"/>
      <c r="H26" s="86">
        <f ca="1">_xll.PALO.DATAC("jedoxtest/EU_PM_CUBE02","EUPM_Mittel2_Cube",$C$65,"Alle Beteiligungen","Alle Koordinatoren","Alle Unternehmensgrößen","-2","Alle Organisationstypen",28,"Alle Expertevaluierungsstatus",$B26,"-2",BL_FactSheet_Bundesland,"-2","Alle","-2","anzahl_beteiligungen")</f>
        <v>5</v>
      </c>
      <c r="I26" s="87">
        <f ca="1">_xll.PALO.DATAC("jedoxtest/EU_PM_CUBE02","EUPM_Mittel2_Cube",$C$65,"Alle Beteiligungen","Alle Koordinatoren","Alle Unternehmensgrößen","-2","Alle Organisationstypen",28,"Alle Expertevaluierungsstatus",$B26,"-2",BL_FactSheet_Bundesland,"-2","Alle","-2","anzahl_beteiligungen")</f>
        <v>5</v>
      </c>
      <c r="J26" s="86">
        <f ca="1">_xll.PALO.DATAC("jedoxtest/EU_PM_CUBE02","EUPM_Mittel2_Cube",$C$65,"Alle Beteiligungen","Alle Koordinatoren","Alle Unternehmensgrößen","-2","Alle Organisationstypen",5,"Alle Expertevaluierungsstatus",$B26,"-2",BL_FactSheet_Bundesland,"-2","Alle","-2","anzahl_beteiligungen")</f>
        <v>11</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Niederösterreich</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355</v>
      </c>
      <c r="D38" s="101" t="str">
        <f ca="1">TEXT(_xll.PALO.DATAC("jedoxtest/EU_PM_CUBE02","EUPM_Mittel2_Cube",$C$65,"Alle Beteiligungen","Alle Koordinatoren","Alle Unternehmensgrößen","-2","Alle Organisationstypen",28,"Alle Expertevaluierungsstatus","-2","-2",BL_FactSheet_Bundesland,"-2","Alle","-2","foerderung"),"#.##0,0..")&amp;" Mio. €"</f>
        <v>189,1 Mio. €</v>
      </c>
      <c r="E38" s="101">
        <f ca="1">_xll.PALO.DATAC("jedoxtest/EU_PM_CUBE02","EUPM_Mittel2_Cube",$C$65,"Alle Beteiligungen","Alle Koordinatoren","Alle Unternehmensgrößen","-2","Alle Organisationstypen",28,"Alle Expertevaluierungsstatus","-2","-2",BL_FactSheet_Bundesland,"-2","Alle","-2","anzahl_koordinatoren")</f>
        <v>93</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9.0584332737943349E-2</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0.10187978430046928</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0.12015503875968993</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203</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353" t="s">
        <v>258</v>
      </c>
      <c r="B46" s="80"/>
      <c r="C46" s="353" t="s">
        <v>258</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345</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360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262</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73.205 Mio. €</v>
      </c>
      <c r="D52" s="105" t="str">
        <f>TEXT(VLOOKUP($D$65,uebbneu_Factsheet_AT!$C$72:$G$81,4,FALSE),"#.##0..")&amp;" Mio. €"</f>
        <v>1.255 Mio. €</v>
      </c>
      <c r="E52" s="106">
        <f>VLOOKUP($D$65,uebbneu_Factsheet_AT!$C$72:$G$81,5,FALSE)</f>
        <v>1.7142012157639507E-2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Niederösterreich: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111</v>
      </c>
      <c r="F60" s="93">
        <f ca="1">_xll.PALO.DATAC("jedoxtest/EU_PM_CUBE02","EUPM_Mittel2_Cube",$C$65,"Alle Beteiligungen","Alle Koordinatoren","Alle Unternehmensgrößen","-2",$C60,28,"Alle Expertevaluierungsstatus","-2","-2",BL_FactSheet_Bundesland,"-2","Alle","-2","anzahl_beteiligungen")/$C$38*100</f>
        <v>31.26760563380282</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98</v>
      </c>
      <c r="F61" s="93">
        <f ca="1">_xll.PALO.DATAC("jedoxtest/EU_PM_CUBE02","EUPM_Mittel2_Cube",$C$65,"Alle Beteiligungen","Alle Koordinatoren","Alle Unternehmensgrößen","-2",$C61,28,"Alle Expertevaluierungsstatus","-2","-2",BL_FactSheet_Bundesland,"-2","Alle","-2","anzahl_beteiligungen")/$C$38*100</f>
        <v>27.605633802816904</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107</v>
      </c>
      <c r="F62" s="93">
        <f ca="1">_xll.PALO.DATAC("jedoxtest/EU_PM_CUBE02","EUPM_Mittel2_Cube",$C$65,"Alle Beteiligungen","Alle Koordinatoren","Alle Unternehmensgrößen","-2",$C62,28,"Alle Expertevaluierungsstatus","-2","-2",BL_FactSheet_Bundesland,"-2","Alle","-2","anzahl_beteiligungen")/$C$38*100</f>
        <v>30.140845070422532</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13</v>
      </c>
      <c r="F63" s="93">
        <f ca="1">_xll.PALO.DATAC("jedoxtest/EU_PM_CUBE02","EUPM_Mittel2_Cube",$C$65,"Alle Beteiligungen","Alle Koordinatoren","Alle Unternehmensgrößen","-2",$C63,28,"Alle Expertevaluierungsstatus","-2","-2",BL_FactSheet_Bundesland,"-2","Alle","-2","anzahl_beteiligungen")/$C$38*100</f>
        <v>3.6619718309859155</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26</v>
      </c>
      <c r="F64" s="93">
        <f ca="1">_xll.PALO.DATAC("jedoxtest/EU_PM_CUBE02","EUPM_Mittel2_Cube",$C$65,"Alle Beteiligungen","Alle Koordinatoren","Alle Unternehmensgrößen","-2",$C64,28,"Alle Expertevaluierungsstatus","-2","-2",BL_FactSheet_Bundesland,"-2","Alle","-2","anzahl_beteiligungen")/$C$38*100</f>
        <v>7.323943661971831</v>
      </c>
      <c r="G64" s="90"/>
      <c r="H64" s="90"/>
      <c r="I64" s="90"/>
      <c r="J64" s="90"/>
    </row>
    <row r="65" spans="3:10">
      <c r="C65" s="413" t="str">
        <f ca="1">_xll.PALO.ENAME("jedoxtest/EU_PM_CUBE02","Datenstand",3)</f>
        <v>117</v>
      </c>
      <c r="D65" s="91">
        <v>7</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62" priority="1">
      <formula>$D36=2</formula>
    </cfRule>
  </conditionalFormatting>
  <conditionalFormatting sqref="C38:C40">
    <cfRule type="expression" dxfId="61" priority="5">
      <formula>$D38=2</formula>
    </cfRule>
  </conditionalFormatting>
  <conditionalFormatting sqref="C42:E42">
    <cfRule type="expression" dxfId="60" priority="2">
      <formula>$D42=2</formula>
    </cfRule>
  </conditionalFormatting>
  <conditionalFormatting sqref="D38:E39">
    <cfRule type="expression" dxfId="59" priority="3">
      <formula>$D38=2</formula>
    </cfRule>
  </conditionalFormatting>
  <conditionalFormatting sqref="F10:F12 F14:F19 F21:F23 F25:F26 F28:F31">
    <cfRule type="expression" dxfId="58" priority="97">
      <formula>$B9=2</formula>
    </cfRule>
  </conditionalFormatting>
  <conditionalFormatting sqref="F10:F31">
    <cfRule type="expression" dxfId="57" priority="6">
      <formula>$B10=2</formula>
    </cfRule>
  </conditionalFormatting>
  <conditionalFormatting sqref="F13 F20 F24">
    <cfRule type="expression" dxfId="56" priority="100">
      <formula>#REF!=2</formula>
    </cfRule>
  </conditionalFormatting>
  <conditionalFormatting sqref="F27">
    <cfRule type="expression" dxfId="55" priority="103">
      <formula>#REF!=2</formula>
    </cfRule>
  </conditionalFormatting>
  <conditionalFormatting sqref="H10:J31">
    <cfRule type="expression" dxfId="54"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6">
    <tabColor rgb="FF92D050"/>
    <pageSetUpPr fitToPage="1"/>
  </sheetPr>
  <dimension ref="A1:IV85"/>
  <sheetViews>
    <sheetView topLeftCell="A33" zoomScaleNormal="100" workbookViewId="0">
      <selection activeCell="A33" sqref="A33"/>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Oberösterreich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6</v>
      </c>
      <c r="E10" s="86">
        <f t="shared" ref="E10:E28" ca="1" si="0">IF(I10=0,0,ABS(H10-I10))</f>
        <v>0</v>
      </c>
      <c r="F10" s="86">
        <f ca="1">J10-H10-E10</f>
        <v>31</v>
      </c>
      <c r="G10" s="80"/>
      <c r="H10" s="86">
        <f ca="1">_xll.PALO.DATAC("jedoxtest/EU_PM_CUBE02","EUPM_Mittel2_Cube",$C$65,"Alle Beteiligungen","Alle Koordinatoren","Alle Unternehmensgrößen","-2","Alle Organisationstypen",28,"Alle Expertevaluierungsstatus",$B10,"-2",BL_FactSheet_Bundesland,"-2","Alle","-2","anzahl_beteiligungen")</f>
        <v>6</v>
      </c>
      <c r="I10" s="87">
        <f ca="1">_xll.PALO.DATAC("jedoxtest/EU_PM_CUBE02","EUPM_Mittel2_Cube",$C$65,"Alle Beteiligungen","Alle Koordinatoren","Alle Unternehmensgrößen","-2","Alle Organisationstypen",28,"Alle Expertevaluierungsstatus",$B10,"-2",BL_FactSheet_Bundesland,"-2","Alle","-2","anzahl_beteiligungen")</f>
        <v>6</v>
      </c>
      <c r="J10" s="86">
        <f ca="1">_xll.PALO.DATAC("jedoxtest/EU_PM_CUBE02","EUPM_Mittel2_Cube",$C$65,"Alle Beteiligungen","Alle Koordinatoren","Alle Unternehmensgrößen","-2","Alle Organisationstypen",5,"Alle Expertevaluierungsstatus",$B10,"-2",BL_FactSheet_Bundesland,"-2","Alle","-2","anzahl_beteiligungen")</f>
        <v>37</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38</v>
      </c>
      <c r="E11" s="86">
        <f t="shared" ca="1" si="0"/>
        <v>0</v>
      </c>
      <c r="F11" s="86">
        <f t="shared" ref="F11:F28" ca="1" si="2">J11-H11-E11</f>
        <v>236</v>
      </c>
      <c r="G11" s="80"/>
      <c r="H11" s="86">
        <f ca="1">_xll.PALO.DATAC("jedoxtest/EU_PM_CUBE02","EUPM_Mittel2_Cube",$C$65,"Alle Beteiligungen","Alle Koordinatoren","Alle Unternehmensgrößen","-2","Alle Organisationstypen",28,"Alle Expertevaluierungsstatus",$B11,"-2",BL_FactSheet_Bundesland,"-2","Alle","-2","anzahl_beteiligungen")</f>
        <v>38</v>
      </c>
      <c r="I11" s="87">
        <f ca="1">_xll.PALO.DATAC("jedoxtest/EU_PM_CUBE02","EUPM_Mittel2_Cube",$C$65,"Alle Beteiligungen","Alle Koordinatoren","Alle Unternehmensgrößen","-2","Alle Organisationstypen",28,"Alle Expertevaluierungsstatus",$B11,"-2",BL_FactSheet_Bundesland,"-2","Alle","-2","anzahl_beteiligungen")</f>
        <v>38</v>
      </c>
      <c r="J11" s="86">
        <f ca="1">_xll.PALO.DATAC("jedoxtest/EU_PM_CUBE02","EUPM_Mittel2_Cube",$C$65,"Alle Beteiligungen","Alle Koordinatoren","Alle Unternehmensgrößen","-2","Alle Organisationstypen",5,"Alle Expertevaluierungsstatus",$B11,"-2",BL_FactSheet_Bundesland,"-2","Alle","-2","anzahl_beteiligungen")</f>
        <v>274</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2</v>
      </c>
      <c r="E12" s="86">
        <f t="shared" ca="1" si="0"/>
        <v>0</v>
      </c>
      <c r="F12" s="86">
        <f t="shared" ca="1" si="2"/>
        <v>0</v>
      </c>
      <c r="G12" s="80"/>
      <c r="H12" s="86">
        <f ca="1">_xll.PALO.DATAC("jedoxtest/EU_PM_CUBE02","EUPM_Mittel2_Cube",$C$65,"Alle Beteiligungen","Alle Koordinatoren","Alle Unternehmensgrößen","-2","Alle Organisationstypen",28,"Alle Expertevaluierungsstatus",$B12,"-2",BL_FactSheet_Bundesland,"-2","Alle","-2","anzahl_beteiligungen")</f>
        <v>2</v>
      </c>
      <c r="I12" s="87">
        <f ca="1">_xll.PALO.DATAC("jedoxtest/EU_PM_CUBE02","EUPM_Mittel2_Cube",$C$65,"Alle Beteiligungen","Alle Koordinatoren","Alle Unternehmensgrößen","-2","Alle Organisationstypen",28,"Alle Expertevaluierungsstatus",$B12,"-2",BL_FactSheet_Bundesland,"-2","Alle","-2","anzahl_beteiligungen")</f>
        <v>2</v>
      </c>
      <c r="J12" s="86">
        <f ca="1">_xll.PALO.DATAC("jedoxtest/EU_PM_CUBE02","EUPM_Mittel2_Cube",$C$65,"Alle Beteiligungen","Alle Koordinatoren","Alle Unternehmensgrößen","-2","Alle Organisationstypen",5,"Alle Expertevaluierungsstatus",$B12,"-2",BL_FactSheet_Bundesland,"-2","Alle","-2","anzahl_beteiligungen")</f>
        <v>2</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4</v>
      </c>
      <c r="E14" s="86">
        <f t="shared" ca="1" si="0"/>
        <v>0</v>
      </c>
      <c r="F14" s="86">
        <f t="shared" ca="1" si="2"/>
        <v>28</v>
      </c>
      <c r="G14" s="80"/>
      <c r="H14" s="86">
        <f ca="1">_xll.PALO.DATAC("jedoxtest/EU_PM_CUBE02","EUPM_Mittel2_Cube",$C$65,"Alle Beteiligungen","Alle Koordinatoren","Alle Unternehmensgrößen","-2","Alle Organisationstypen",28,"Alle Expertevaluierungsstatus",$B14,"-2",BL_FactSheet_Bundesland,"-2","Alle","-2","anzahl_beteiligungen")</f>
        <v>4</v>
      </c>
      <c r="I14" s="87">
        <f ca="1">_xll.PALO.DATAC("jedoxtest/EU_PM_CUBE02","EUPM_Mittel2_Cube",$C$65,"Alle Beteiligungen","Alle Koordinatoren","Alle Unternehmensgrößen","-2","Alle Organisationstypen",28,"Alle Expertevaluierungsstatus",$B14,"-2",BL_FactSheet_Bundesland,"-2","Alle","-2","anzahl_beteiligungen")</f>
        <v>4</v>
      </c>
      <c r="J14" s="86">
        <f ca="1">_xll.PALO.DATAC("jedoxtest/EU_PM_CUBE02","EUPM_Mittel2_Cube",$C$65,"Alle Beteiligungen","Alle Koordinatoren","Alle Unternehmensgrößen","-2","Alle Organisationstypen",5,"Alle Expertevaluierungsstatus",$B14,"-2",BL_FactSheet_Bundesland,"-2","Alle","-2","anzahl_beteiligungen")</f>
        <v>32</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5</v>
      </c>
      <c r="E15" s="86">
        <f t="shared" ca="1" si="0"/>
        <v>0</v>
      </c>
      <c r="F15" s="86">
        <f t="shared" ca="1" si="2"/>
        <v>82</v>
      </c>
      <c r="G15" s="80"/>
      <c r="H15" s="86">
        <f ca="1">_xll.PALO.DATAC("jedoxtest/EU_PM_CUBE02","EUPM_Mittel2_Cube",$C$65,"Alle Beteiligungen","Alle Koordinatoren","Alle Unternehmensgrößen","-2","Alle Organisationstypen",28,"Alle Expertevaluierungsstatus",$B15,"-2",BL_FactSheet_Bundesland,"-2","Alle","-2","anzahl_beteiligungen")</f>
        <v>5</v>
      </c>
      <c r="I15" s="87">
        <f ca="1">_xll.PALO.DATAC("jedoxtest/EU_PM_CUBE02","EUPM_Mittel2_Cube",$C$65,"Alle Beteiligungen","Alle Koordinatoren","Alle Unternehmensgrößen","-2","Alle Organisationstypen",28,"Alle Expertevaluierungsstatus",$B15,"-2",BL_FactSheet_Bundesland,"-2","Alle","-2","anzahl_beteiligungen")</f>
        <v>5</v>
      </c>
      <c r="J15" s="86">
        <f ca="1">_xll.PALO.DATAC("jedoxtest/EU_PM_CUBE02","EUPM_Mittel2_Cube",$C$65,"Alle Beteiligungen","Alle Koordinatoren","Alle Unternehmensgrößen","-2","Alle Organisationstypen",5,"Alle Expertevaluierungsstatus",$B15,"-2",BL_FactSheet_Bundesland,"-2","Alle","-2","anzahl_beteiligungen")</f>
        <v>87</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7</v>
      </c>
      <c r="E16" s="86">
        <f t="shared" ca="1" si="0"/>
        <v>0</v>
      </c>
      <c r="F16" s="86">
        <f t="shared" ca="1" si="2"/>
        <v>45</v>
      </c>
      <c r="G16" s="80"/>
      <c r="H16" s="86">
        <f ca="1">_xll.PALO.DATAC("jedoxtest/EU_PM_CUBE02","EUPM_Mittel2_Cube",$C$65,"Alle Beteiligungen","Alle Koordinatoren","Alle Unternehmensgrößen","-2","Alle Organisationstypen",28,"Alle Expertevaluierungsstatus",$B16,"-2",BL_FactSheet_Bundesland,"-2","Alle","-2","anzahl_beteiligungen")</f>
        <v>7</v>
      </c>
      <c r="I16" s="87">
        <f ca="1">_xll.PALO.DATAC("jedoxtest/EU_PM_CUBE02","EUPM_Mittel2_Cube",$C$65,"Alle Beteiligungen","Alle Koordinatoren","Alle Unternehmensgrößen","-2","Alle Organisationstypen",28,"Alle Expertevaluierungsstatus",$B16,"-2",BL_FactSheet_Bundesland,"-2","Alle","-2","anzahl_beteiligungen")</f>
        <v>7</v>
      </c>
      <c r="J16" s="86">
        <f ca="1">_xll.PALO.DATAC("jedoxtest/EU_PM_CUBE02","EUPM_Mittel2_Cube",$C$65,"Alle Beteiligungen","Alle Koordinatoren","Alle Unternehmensgrößen","-2","Alle Organisationstypen",5,"Alle Expertevaluierungsstatus",$B16,"-2",BL_FactSheet_Bundesland,"-2","Alle","-2","anzahl_beteiligungen")</f>
        <v>52</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97</v>
      </c>
      <c r="E17" s="86">
        <f t="shared" ca="1" si="0"/>
        <v>0</v>
      </c>
      <c r="F17" s="86">
        <f t="shared" ca="1" si="2"/>
        <v>456</v>
      </c>
      <c r="G17" s="80"/>
      <c r="H17" s="86">
        <f ca="1">_xll.PALO.DATAC("jedoxtest/EU_PM_CUBE02","EUPM_Mittel2_Cube",$C$65,"Alle Beteiligungen","Alle Koordinatoren","Alle Unternehmensgrößen","-2","Alle Organisationstypen",28,"Alle Expertevaluierungsstatus",$B17,"-2",BL_FactSheet_Bundesland,"-2","Alle","-2","anzahl_beteiligungen")</f>
        <v>97</v>
      </c>
      <c r="I17" s="87">
        <f ca="1">_xll.PALO.DATAC("jedoxtest/EU_PM_CUBE02","EUPM_Mittel2_Cube",$C$65,"Alle Beteiligungen","Alle Koordinatoren","Alle Unternehmensgrößen","-2","Alle Organisationstypen",28,"Alle Expertevaluierungsstatus",$B17,"-2",BL_FactSheet_Bundesland,"-2","Alle","-2","anzahl_beteiligungen")</f>
        <v>97</v>
      </c>
      <c r="J17" s="86">
        <f ca="1">_xll.PALO.DATAC("jedoxtest/EU_PM_CUBE02","EUPM_Mittel2_Cube",$C$65,"Alle Beteiligungen","Alle Koordinatoren","Alle Unternehmensgrößen","-2","Alle Organisationstypen",5,"Alle Expertevaluierungsstatus",$B17,"-2",BL_FactSheet_Bundesland,"-2","Alle","-2","anzahl_beteiligungen")</f>
        <v>553</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54</v>
      </c>
      <c r="E18" s="86">
        <f t="shared" ca="1" si="0"/>
        <v>0</v>
      </c>
      <c r="F18" s="86">
        <f t="shared" ca="1" si="2"/>
        <v>251</v>
      </c>
      <c r="G18" s="80"/>
      <c r="H18" s="86">
        <f ca="1">_xll.PALO.DATAC("jedoxtest/EU_PM_CUBE02","EUPM_Mittel2_Cube",$C$65,"Alle Beteiligungen","Alle Koordinatoren","Alle Unternehmensgrößen","-2","Alle Organisationstypen",28,"Alle Expertevaluierungsstatus",$B18,"-2",BL_FactSheet_Bundesland,"-2","Alle","-2","anzahl_beteiligungen")</f>
        <v>54</v>
      </c>
      <c r="I18" s="87">
        <f ca="1">_xll.PALO.DATAC("jedoxtest/EU_PM_CUBE02","EUPM_Mittel2_Cube",$C$65,"Alle Beteiligungen","Alle Koordinatoren","Alle Unternehmensgrößen","-2","Alle Organisationstypen",28,"Alle Expertevaluierungsstatus",$B18,"-2",BL_FactSheet_Bundesland,"-2","Alle","-2","anzahl_beteiligungen")</f>
        <v>54</v>
      </c>
      <c r="J18" s="86">
        <f ca="1">_xll.PALO.DATAC("jedoxtest/EU_PM_CUBE02","EUPM_Mittel2_Cube",$C$65,"Alle Beteiligungen","Alle Koordinatoren","Alle Unternehmensgrößen","-2","Alle Organisationstypen",5,"Alle Expertevaluierungsstatus",$B18,"-2",BL_FactSheet_Bundesland,"-2","Alle","-2","anzahl_beteiligungen")</f>
        <v>305</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28</v>
      </c>
      <c r="E19" s="86">
        <f t="shared" ca="1" si="0"/>
        <v>0</v>
      </c>
      <c r="F19" s="86">
        <f t="shared" ca="1" si="2"/>
        <v>95</v>
      </c>
      <c r="G19" s="80"/>
      <c r="H19" s="86">
        <f ca="1">_xll.PALO.DATAC("jedoxtest/EU_PM_CUBE02","EUPM_Mittel2_Cube",$C$65,"Alle Beteiligungen","Alle Koordinatoren","Alle Unternehmensgrößen","-2","Alle Organisationstypen",28,"Alle Expertevaluierungsstatus",$B19,"-2",BL_FactSheet_Bundesland,"-2","Alle","-2","anzahl_beteiligungen")</f>
        <v>28</v>
      </c>
      <c r="I19" s="87">
        <f ca="1">_xll.PALO.DATAC("jedoxtest/EU_PM_CUBE02","EUPM_Mittel2_Cube",$C$65,"Alle Beteiligungen","Alle Koordinatoren","Alle Unternehmensgrößen","-2","Alle Organisationstypen",28,"Alle Expertevaluierungsstatus",$B19,"-2",BL_FactSheet_Bundesland,"-2","Alle","-2","anzahl_beteiligungen")</f>
        <v>28</v>
      </c>
      <c r="J19" s="86">
        <f ca="1">_xll.PALO.DATAC("jedoxtest/EU_PM_CUBE02","EUPM_Mittel2_Cube",$C$65,"Alle Beteiligungen","Alle Koordinatoren","Alle Unternehmensgrößen","-2","Alle Organisationstypen",5,"Alle Expertevaluierungsstatus",$B19,"-2",BL_FactSheet_Bundesland,"-2","Alle","-2","anzahl_beteiligungen")</f>
        <v>123</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12</v>
      </c>
      <c r="E21" s="86">
        <f t="shared" ca="1" si="0"/>
        <v>0</v>
      </c>
      <c r="F21" s="86">
        <f t="shared" ca="1" si="2"/>
        <v>177</v>
      </c>
      <c r="G21" s="80"/>
      <c r="H21" s="86">
        <f ca="1">_xll.PALO.DATAC("jedoxtest/EU_PM_CUBE02","EUPM_Mittel2_Cube",$C$65,"Alle Beteiligungen","Alle Koordinatoren","Alle Unternehmensgrößen","-2","Alle Organisationstypen",28,"Alle Expertevaluierungsstatus",$B21,"-2",BL_FactSheet_Bundesland,"-2","Alle","-2","anzahl_beteiligungen")</f>
        <v>12</v>
      </c>
      <c r="I21" s="87">
        <f ca="1">_xll.PALO.DATAC("jedoxtest/EU_PM_CUBE02","EUPM_Mittel2_Cube",$C$65,"Alle Beteiligungen","Alle Koordinatoren","Alle Unternehmensgrößen","-2","Alle Organisationstypen",28,"Alle Expertevaluierungsstatus",$B21,"-2",BL_FactSheet_Bundesland,"-2","Alle","-2","anzahl_beteiligungen")</f>
        <v>12</v>
      </c>
      <c r="J21" s="86">
        <f ca="1">_xll.PALO.DATAC("jedoxtest/EU_PM_CUBE02","EUPM_Mittel2_Cube",$C$65,"Alle Beteiligungen","Alle Koordinatoren","Alle Unternehmensgrößen","-2","Alle Organisationstypen",5,"Alle Expertevaluierungsstatus",$B21,"-2",BL_FactSheet_Bundesland,"-2","Alle","-2","anzahl_beteiligungen")</f>
        <v>189</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1</v>
      </c>
      <c r="E22" s="86">
        <f t="shared" ca="1" si="0"/>
        <v>0</v>
      </c>
      <c r="F22" s="86">
        <f t="shared" ca="1" si="2"/>
        <v>4</v>
      </c>
      <c r="G22" s="80"/>
      <c r="H22" s="86">
        <f ca="1">_xll.PALO.DATAC("jedoxtest/EU_PM_CUBE02","EUPM_Mittel2_Cube",$C$65,"Alle Beteiligungen","Alle Koordinatoren","Alle Unternehmensgrößen","-2","Alle Organisationstypen",28,"Alle Expertevaluierungsstatus",$B22,"-2",BL_FactSheet_Bundesland,"-2","Alle","-2","anzahl_beteiligungen")</f>
        <v>1</v>
      </c>
      <c r="I22" s="87">
        <f ca="1">_xll.PALO.DATAC("jedoxtest/EU_PM_CUBE02","EUPM_Mittel2_Cube",$C$65,"Alle Beteiligungen","Alle Koordinatoren","Alle Unternehmensgrößen","-2","Alle Organisationstypen",28,"Alle Expertevaluierungsstatus",$B22,"-2",BL_FactSheet_Bundesland,"-2","Alle","-2","anzahl_beteiligungen")</f>
        <v>1</v>
      </c>
      <c r="J22" s="86">
        <f ca="1">_xll.PALO.DATAC("jedoxtest/EU_PM_CUBE02","EUPM_Mittel2_Cube",$C$65,"Alle Beteiligungen","Alle Koordinatoren","Alle Unternehmensgrößen","-2","Alle Organisationstypen",5,"Alle Expertevaluierungsstatus",$B22,"-2",BL_FactSheet_Bundesland,"-2","Alle","-2","anzahl_beteiligungen")</f>
        <v>5</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7</v>
      </c>
      <c r="E25" s="86">
        <f t="shared" ca="1" si="0"/>
        <v>0</v>
      </c>
      <c r="F25" s="86">
        <f t="shared" ca="1" si="2"/>
        <v>33</v>
      </c>
      <c r="G25" s="80"/>
      <c r="H25" s="86">
        <f ca="1">_xll.PALO.DATAC("jedoxtest/EU_PM_CUBE02","EUPM_Mittel2_Cube",$C$65,"Alle Beteiligungen","Alle Koordinatoren","Alle Unternehmensgrößen","-2","Alle Organisationstypen",28,"Alle Expertevaluierungsstatus",$B25,"-2",BL_FactSheet_Bundesland,"-2","Alle","-2","anzahl_beteiligungen")</f>
        <v>7</v>
      </c>
      <c r="I25" s="87">
        <f ca="1">_xll.PALO.DATAC("jedoxtest/EU_PM_CUBE02","EUPM_Mittel2_Cube",$C$65,"Alle Beteiligungen","Alle Koordinatoren","Alle Unternehmensgrößen","-2","Alle Organisationstypen",28,"Alle Expertevaluierungsstatus",$B25,"-2",BL_FactSheet_Bundesland,"-2","Alle","-2","anzahl_beteiligungen")</f>
        <v>7</v>
      </c>
      <c r="J25" s="86">
        <f ca="1">_xll.PALO.DATAC("jedoxtest/EU_PM_CUBE02","EUPM_Mittel2_Cube",$C$65,"Alle Beteiligungen","Alle Koordinatoren","Alle Unternehmensgrößen","-2","Alle Organisationstypen",5,"Alle Expertevaluierungsstatus",$B25,"-2",BL_FactSheet_Bundesland,"-2","Alle","-2","anzahl_beteiligungen")</f>
        <v>40</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1</v>
      </c>
      <c r="E26" s="86">
        <f t="shared" ca="1" si="0"/>
        <v>0</v>
      </c>
      <c r="F26" s="86">
        <f t="shared" ca="1" si="2"/>
        <v>4</v>
      </c>
      <c r="G26" s="80"/>
      <c r="H26" s="86">
        <f ca="1">_xll.PALO.DATAC("jedoxtest/EU_PM_CUBE02","EUPM_Mittel2_Cube",$C$65,"Alle Beteiligungen","Alle Koordinatoren","Alle Unternehmensgrößen","-2","Alle Organisationstypen",28,"Alle Expertevaluierungsstatus",$B26,"-2",BL_FactSheet_Bundesland,"-2","Alle","-2","anzahl_beteiligungen")</f>
        <v>1</v>
      </c>
      <c r="I26" s="87">
        <f ca="1">_xll.PALO.DATAC("jedoxtest/EU_PM_CUBE02","EUPM_Mittel2_Cube",$C$65,"Alle Beteiligungen","Alle Koordinatoren","Alle Unternehmensgrößen","-2","Alle Organisationstypen",28,"Alle Expertevaluierungsstatus",$B26,"-2",BL_FactSheet_Bundesland,"-2","Alle","-2","anzahl_beteiligungen")</f>
        <v>1</v>
      </c>
      <c r="J26" s="86">
        <f ca="1">_xll.PALO.DATAC("jedoxtest/EU_PM_CUBE02","EUPM_Mittel2_Cube",$C$65,"Alle Beteiligungen","Alle Koordinatoren","Alle Unternehmensgrößen","-2","Alle Organisationstypen",5,"Alle Expertevaluierungsstatus",$B26,"-2",BL_FactSheet_Bundesland,"-2","Alle","-2","anzahl_beteiligungen")</f>
        <v>5</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Oberösterreich</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262</v>
      </c>
      <c r="D38" s="101" t="str">
        <f ca="1">TEXT(_xll.PALO.DATAC("jedoxtest/EU_PM_CUBE02","EUPM_Mittel2_Cube",$C$65,"Alle Beteiligungen","Alle Koordinatoren","Alle Unternehmensgrößen","-2","Alle Organisationstypen",28,"Alle Expertevaluierungsstatus","-2","-2",BL_FactSheet_Bundesland,"-2","Alle","-2","foerderung"),"#.##0,0..")&amp;" Mio. €"</f>
        <v>105,6 Mio. €</v>
      </c>
      <c r="E38" s="101">
        <f ca="1">_xll.PALO.DATAC("jedoxtest/EU_PM_CUBE02","EUPM_Mittel2_Cube",$C$65,"Alle Beteiligungen","Alle Koordinatoren","Alle Unternehmensgrößen","-2","Alle Organisationstypen",28,"Alle Expertevaluierungsstatus","-2","-2",BL_FactSheet_Bundesland,"-2","Alle","-2","anzahl_koordinatoren")</f>
        <v>27</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6.6853789231946931E-2</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5.6872662614451251E-2</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3.4883720930232558E-2</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263</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346</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250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429</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430</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81.776 Mio. €</v>
      </c>
      <c r="D52" s="105" t="str">
        <f>TEXT(VLOOKUP($D$65,uebbneu_Factsheet_AT!$C$72:$G$81,4,FALSE),"#.##0..")&amp;" Mio. €"</f>
        <v>2.843 Mio. €</v>
      </c>
      <c r="E52" s="106">
        <f>VLOOKUP($D$65,uebbneu_Factsheet_AT!$C$72:$G$81,5,FALSE)</f>
        <v>3.4771620035218158E-2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Oberösterreich: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48</v>
      </c>
      <c r="F60" s="93">
        <f ca="1">_xll.PALO.DATAC("jedoxtest/EU_PM_CUBE02","EUPM_Mittel2_Cube",$C$65,"Alle Beteiligungen","Alle Koordinatoren","Alle Unternehmensgrößen","-2",$C60,28,"Alle Expertevaluierungsstatus","-2","-2",BL_FactSheet_Bundesland,"-2","Alle","-2","anzahl_beteiligungen")/$C$38*100</f>
        <v>18.320610687022899</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117</v>
      </c>
      <c r="F61" s="93">
        <f ca="1">_xll.PALO.DATAC("jedoxtest/EU_PM_CUBE02","EUPM_Mittel2_Cube",$C$65,"Alle Beteiligungen","Alle Koordinatoren","Alle Unternehmensgrößen","-2",$C61,28,"Alle Expertevaluierungsstatus","-2","-2",BL_FactSheet_Bundesland,"-2","Alle","-2","anzahl_beteiligungen")/$C$38*100</f>
        <v>44.656488549618324</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85</v>
      </c>
      <c r="F62" s="93">
        <f ca="1">_xll.PALO.DATAC("jedoxtest/EU_PM_CUBE02","EUPM_Mittel2_Cube",$C$65,"Alle Beteiligungen","Alle Koordinatoren","Alle Unternehmensgrößen","-2",$C62,28,"Alle Expertevaluierungsstatus","-2","-2",BL_FactSheet_Bundesland,"-2","Alle","-2","anzahl_beteiligungen")/$C$38*100</f>
        <v>32.44274809160305</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2</v>
      </c>
      <c r="F63" s="93">
        <f ca="1">_xll.PALO.DATAC("jedoxtest/EU_PM_CUBE02","EUPM_Mittel2_Cube",$C$65,"Alle Beteiligungen","Alle Koordinatoren","Alle Unternehmensgrößen","-2",$C63,28,"Alle Expertevaluierungsstatus","-2","-2",BL_FactSheet_Bundesland,"-2","Alle","-2","anzahl_beteiligungen")/$C$38*100</f>
        <v>0.76335877862595414</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10</v>
      </c>
      <c r="F64" s="93">
        <f ca="1">_xll.PALO.DATAC("jedoxtest/EU_PM_CUBE02","EUPM_Mittel2_Cube",$C$65,"Alle Beteiligungen","Alle Koordinatoren","Alle Unternehmensgrößen","-2",$C64,28,"Alle Expertevaluierungsstatus","-2","-2",BL_FactSheet_Bundesland,"-2","Alle","-2","anzahl_beteiligungen")/$C$38*100</f>
        <v>3.8167938931297711</v>
      </c>
      <c r="G64" s="90"/>
      <c r="H64" s="90"/>
      <c r="I64" s="90"/>
      <c r="J64" s="90"/>
    </row>
    <row r="65" spans="3:10">
      <c r="C65" s="413" t="str">
        <f ca="1">_xll.PALO.ENAME("jedoxtest/EU_PM_CUBE02","Datenstand",3)</f>
        <v>117</v>
      </c>
      <c r="D65" s="91">
        <v>30</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53" priority="1">
      <formula>$D36=2</formula>
    </cfRule>
  </conditionalFormatting>
  <conditionalFormatting sqref="C38:C40">
    <cfRule type="expression" dxfId="52" priority="5">
      <formula>$D38=2</formula>
    </cfRule>
  </conditionalFormatting>
  <conditionalFormatting sqref="C42:E42">
    <cfRule type="expression" dxfId="51" priority="2">
      <formula>$D42=2</formula>
    </cfRule>
  </conditionalFormatting>
  <conditionalFormatting sqref="D38:E39">
    <cfRule type="expression" dxfId="50" priority="3">
      <formula>$D38=2</formula>
    </cfRule>
  </conditionalFormatting>
  <conditionalFormatting sqref="F10:F12 F14:F19 F21:F23 F25:F26 F28:F31">
    <cfRule type="expression" dxfId="49" priority="97">
      <formula>$B9=2</formula>
    </cfRule>
  </conditionalFormatting>
  <conditionalFormatting sqref="F10:F31">
    <cfRule type="expression" dxfId="48" priority="6">
      <formula>$B10=2</formula>
    </cfRule>
  </conditionalFormatting>
  <conditionalFormatting sqref="F13 F20 F24">
    <cfRule type="expression" dxfId="47" priority="100">
      <formula>#REF!=2</formula>
    </cfRule>
  </conditionalFormatting>
  <conditionalFormatting sqref="F27">
    <cfRule type="expression" dxfId="46" priority="103">
      <formula>#REF!=2</formula>
    </cfRule>
  </conditionalFormatting>
  <conditionalFormatting sqref="H10:J31">
    <cfRule type="expression" dxfId="45"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7">
    <tabColor rgb="FF92D050"/>
    <pageSetUpPr fitToPage="1"/>
  </sheetPr>
  <dimension ref="A1:IV85"/>
  <sheetViews>
    <sheetView topLeftCell="A32" zoomScaleNormal="100" workbookViewId="0">
      <selection activeCell="D52" sqref="D52"/>
    </sheetView>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Salzburg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5</v>
      </c>
      <c r="E10" s="86">
        <f t="shared" ref="E10:E28" ca="1" si="0">IF(I10=0,0,ABS(H10-I10))</f>
        <v>0</v>
      </c>
      <c r="F10" s="86">
        <f ca="1">J10-H10-E10</f>
        <v>35</v>
      </c>
      <c r="G10" s="80"/>
      <c r="H10" s="86">
        <f ca="1">_xll.PALO.DATAC("jedoxtest/EU_PM_CUBE02","EUPM_Mittel2_Cube",$C$65,"Alle Beteiligungen","Alle Koordinatoren","Alle Unternehmensgrößen","-2","Alle Organisationstypen",28,"Alle Expertevaluierungsstatus",$B10,"-2",BL_FactSheet_Bundesland,"-2","Alle","-2","anzahl_beteiligungen")</f>
        <v>5</v>
      </c>
      <c r="I10" s="87">
        <f ca="1">_xll.PALO.DATAC("jedoxtest/EU_PM_CUBE02","EUPM_Mittel2_Cube",$C$65,"Alle Beteiligungen","Alle Koordinatoren","Alle Unternehmensgrößen","-2","Alle Organisationstypen",28,"Alle Expertevaluierungsstatus",$B10,"-2",BL_FactSheet_Bundesland,"-2","Alle","-2","anzahl_beteiligungen")</f>
        <v>5</v>
      </c>
      <c r="J10" s="86">
        <f ca="1">_xll.PALO.DATAC("jedoxtest/EU_PM_CUBE02","EUPM_Mittel2_Cube",$C$65,"Alle Beteiligungen","Alle Koordinatoren","Alle Unternehmensgrößen","-2","Alle Organisationstypen",5,"Alle Expertevaluierungsstatus",$B10,"-2",BL_FactSheet_Bundesland,"-2","Alle","-2","anzahl_beteiligungen")</f>
        <v>40</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20</v>
      </c>
      <c r="E11" s="86">
        <f t="shared" ca="1" si="0"/>
        <v>0</v>
      </c>
      <c r="F11" s="86">
        <f t="shared" ref="F11:F28" ca="1" si="2">J11-H11-E11</f>
        <v>100</v>
      </c>
      <c r="G11" s="80"/>
      <c r="H11" s="86">
        <f ca="1">_xll.PALO.DATAC("jedoxtest/EU_PM_CUBE02","EUPM_Mittel2_Cube",$C$65,"Alle Beteiligungen","Alle Koordinatoren","Alle Unternehmensgrößen","-2","Alle Organisationstypen",28,"Alle Expertevaluierungsstatus",$B11,"-2",BL_FactSheet_Bundesland,"-2","Alle","-2","anzahl_beteiligungen")</f>
        <v>20</v>
      </c>
      <c r="I11" s="87">
        <f ca="1">_xll.PALO.DATAC("jedoxtest/EU_PM_CUBE02","EUPM_Mittel2_Cube",$C$65,"Alle Beteiligungen","Alle Koordinatoren","Alle Unternehmensgrößen","-2","Alle Organisationstypen",28,"Alle Expertevaluierungsstatus",$B11,"-2",BL_FactSheet_Bundesland,"-2","Alle","-2","anzahl_beteiligungen")</f>
        <v>20</v>
      </c>
      <c r="J11" s="86">
        <f ca="1">_xll.PALO.DATAC("jedoxtest/EU_PM_CUBE02","EUPM_Mittel2_Cube",$C$65,"Alle Beteiligungen","Alle Koordinatoren","Alle Unternehmensgrößen","-2","Alle Organisationstypen",5,"Alle Expertevaluierungsstatus",$B11,"-2",BL_FactSheet_Bundesland,"-2","Alle","-2","anzahl_beteiligungen")</f>
        <v>120</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0</v>
      </c>
      <c r="E12" s="86">
        <f t="shared" ca="1" si="0"/>
        <v>0</v>
      </c>
      <c r="F12" s="86">
        <f t="shared" ca="1" si="2"/>
        <v>3</v>
      </c>
      <c r="G12" s="80"/>
      <c r="H12" s="86">
        <f ca="1">_xll.PALO.DATAC("jedoxtest/EU_PM_CUBE02","EUPM_Mittel2_Cube",$C$65,"Alle Beteiligungen","Alle Koordinatoren","Alle Unternehmensgrößen","-2","Alle Organisationstypen",28,"Alle Expertevaluierungsstatus",$B12,"-2",BL_FactSheet_Bundesland,"-2","Alle","-2","anzahl_beteiligungen")</f>
        <v>0</v>
      </c>
      <c r="I12" s="87">
        <f ca="1">_xll.PALO.DATAC("jedoxtest/EU_PM_CUBE02","EUPM_Mittel2_Cube",$C$65,"Alle Beteiligungen","Alle Koordinatoren","Alle Unternehmensgrößen","-2","Alle Organisationstypen",28,"Alle Expertevaluierungsstatus",$B12,"-2",BL_FactSheet_Bundesland,"-2","Alle","-2","anzahl_beteiligungen")</f>
        <v>0</v>
      </c>
      <c r="J12" s="86">
        <f ca="1">_xll.PALO.DATAC("jedoxtest/EU_PM_CUBE02","EUPM_Mittel2_Cube",$C$65,"Alle Beteiligungen","Alle Koordinatoren","Alle Unternehmensgrößen","-2","Alle Organisationstypen",5,"Alle Expertevaluierungsstatus",$B12,"-2",BL_FactSheet_Bundesland,"-2","Alle","-2","anzahl_beteiligungen")</f>
        <v>3</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6</v>
      </c>
      <c r="E14" s="86">
        <f t="shared" ca="1" si="0"/>
        <v>0</v>
      </c>
      <c r="F14" s="86">
        <f t="shared" ca="1" si="2"/>
        <v>33</v>
      </c>
      <c r="G14" s="80"/>
      <c r="H14" s="86">
        <f ca="1">_xll.PALO.DATAC("jedoxtest/EU_PM_CUBE02","EUPM_Mittel2_Cube",$C$65,"Alle Beteiligungen","Alle Koordinatoren","Alle Unternehmensgrößen","-2","Alle Organisationstypen",28,"Alle Expertevaluierungsstatus",$B14,"-2",BL_FactSheet_Bundesland,"-2","Alle","-2","anzahl_beteiligungen")</f>
        <v>6</v>
      </c>
      <c r="I14" s="87">
        <f ca="1">_xll.PALO.DATAC("jedoxtest/EU_PM_CUBE02","EUPM_Mittel2_Cube",$C$65,"Alle Beteiligungen","Alle Koordinatoren","Alle Unternehmensgrößen","-2","Alle Organisationstypen",28,"Alle Expertevaluierungsstatus",$B14,"-2",BL_FactSheet_Bundesland,"-2","Alle","-2","anzahl_beteiligungen")</f>
        <v>6</v>
      </c>
      <c r="J14" s="86">
        <f ca="1">_xll.PALO.DATAC("jedoxtest/EU_PM_CUBE02","EUPM_Mittel2_Cube",$C$65,"Alle Beteiligungen","Alle Koordinatoren","Alle Unternehmensgrößen","-2","Alle Organisationstypen",5,"Alle Expertevaluierungsstatus",$B14,"-2",BL_FactSheet_Bundesland,"-2","Alle","-2","anzahl_beteiligungen")</f>
        <v>39</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8</v>
      </c>
      <c r="E15" s="86">
        <f t="shared" ca="1" si="0"/>
        <v>0</v>
      </c>
      <c r="F15" s="86">
        <f t="shared" ca="1" si="2"/>
        <v>37</v>
      </c>
      <c r="G15" s="80"/>
      <c r="H15" s="86">
        <f ca="1">_xll.PALO.DATAC("jedoxtest/EU_PM_CUBE02","EUPM_Mittel2_Cube",$C$65,"Alle Beteiligungen","Alle Koordinatoren","Alle Unternehmensgrößen","-2","Alle Organisationstypen",28,"Alle Expertevaluierungsstatus",$B15,"-2",BL_FactSheet_Bundesland,"-2","Alle","-2","anzahl_beteiligungen")</f>
        <v>8</v>
      </c>
      <c r="I15" s="87">
        <f ca="1">_xll.PALO.DATAC("jedoxtest/EU_PM_CUBE02","EUPM_Mittel2_Cube",$C$65,"Alle Beteiligungen","Alle Koordinatoren","Alle Unternehmensgrößen","-2","Alle Organisationstypen",28,"Alle Expertevaluierungsstatus",$B15,"-2",BL_FactSheet_Bundesland,"-2","Alle","-2","anzahl_beteiligungen")</f>
        <v>8</v>
      </c>
      <c r="J15" s="86">
        <f ca="1">_xll.PALO.DATAC("jedoxtest/EU_PM_CUBE02","EUPM_Mittel2_Cube",$C$65,"Alle Beteiligungen","Alle Koordinatoren","Alle Unternehmensgrößen","-2","Alle Organisationstypen",5,"Alle Expertevaluierungsstatus",$B15,"-2",BL_FactSheet_Bundesland,"-2","Alle","-2","anzahl_beteiligungen")</f>
        <v>45</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1</v>
      </c>
      <c r="E16" s="86">
        <f t="shared" ca="1" si="0"/>
        <v>0</v>
      </c>
      <c r="F16" s="86">
        <f t="shared" ca="1" si="2"/>
        <v>12</v>
      </c>
      <c r="G16" s="80"/>
      <c r="H16" s="86">
        <f ca="1">_xll.PALO.DATAC("jedoxtest/EU_PM_CUBE02","EUPM_Mittel2_Cube",$C$65,"Alle Beteiligungen","Alle Koordinatoren","Alle Unternehmensgrößen","-2","Alle Organisationstypen",28,"Alle Expertevaluierungsstatus",$B16,"-2",BL_FactSheet_Bundesland,"-2","Alle","-2","anzahl_beteiligungen")</f>
        <v>1</v>
      </c>
      <c r="I16" s="87">
        <f ca="1">_xll.PALO.DATAC("jedoxtest/EU_PM_CUBE02","EUPM_Mittel2_Cube",$C$65,"Alle Beteiligungen","Alle Koordinatoren","Alle Unternehmensgrößen","-2","Alle Organisationstypen",28,"Alle Expertevaluierungsstatus",$B16,"-2",BL_FactSheet_Bundesland,"-2","Alle","-2","anzahl_beteiligungen")</f>
        <v>1</v>
      </c>
      <c r="J16" s="86">
        <f ca="1">_xll.PALO.DATAC("jedoxtest/EU_PM_CUBE02","EUPM_Mittel2_Cube",$C$65,"Alle Beteiligungen","Alle Koordinatoren","Alle Unternehmensgrößen","-2","Alle Organisationstypen",5,"Alle Expertevaluierungsstatus",$B16,"-2",BL_FactSheet_Bundesland,"-2","Alle","-2","anzahl_beteiligungen")</f>
        <v>13</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16</v>
      </c>
      <c r="E17" s="86">
        <f t="shared" ca="1" si="0"/>
        <v>0</v>
      </c>
      <c r="F17" s="86">
        <f t="shared" ca="1" si="2"/>
        <v>65</v>
      </c>
      <c r="G17" s="80"/>
      <c r="H17" s="86">
        <f ca="1">_xll.PALO.DATAC("jedoxtest/EU_PM_CUBE02","EUPM_Mittel2_Cube",$C$65,"Alle Beteiligungen","Alle Koordinatoren","Alle Unternehmensgrößen","-2","Alle Organisationstypen",28,"Alle Expertevaluierungsstatus",$B17,"-2",BL_FactSheet_Bundesland,"-2","Alle","-2","anzahl_beteiligungen")</f>
        <v>16</v>
      </c>
      <c r="I17" s="87">
        <f ca="1">_xll.PALO.DATAC("jedoxtest/EU_PM_CUBE02","EUPM_Mittel2_Cube",$C$65,"Alle Beteiligungen","Alle Koordinatoren","Alle Unternehmensgrößen","-2","Alle Organisationstypen",28,"Alle Expertevaluierungsstatus",$B17,"-2",BL_FactSheet_Bundesland,"-2","Alle","-2","anzahl_beteiligungen")</f>
        <v>16</v>
      </c>
      <c r="J17" s="86">
        <f ca="1">_xll.PALO.DATAC("jedoxtest/EU_PM_CUBE02","EUPM_Mittel2_Cube",$C$65,"Alle Beteiligungen","Alle Koordinatoren","Alle Unternehmensgrößen","-2","Alle Organisationstypen",5,"Alle Expertevaluierungsstatus",$B17,"-2",BL_FactSheet_Bundesland,"-2","Alle","-2","anzahl_beteiligungen")</f>
        <v>81</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10</v>
      </c>
      <c r="E18" s="86">
        <f t="shared" ca="1" si="0"/>
        <v>0</v>
      </c>
      <c r="F18" s="86">
        <f t="shared" ca="1" si="2"/>
        <v>62</v>
      </c>
      <c r="G18" s="80"/>
      <c r="H18" s="86">
        <f ca="1">_xll.PALO.DATAC("jedoxtest/EU_PM_CUBE02","EUPM_Mittel2_Cube",$C$65,"Alle Beteiligungen","Alle Koordinatoren","Alle Unternehmensgrößen","-2","Alle Organisationstypen",28,"Alle Expertevaluierungsstatus",$B18,"-2",BL_FactSheet_Bundesland,"-2","Alle","-2","anzahl_beteiligungen")</f>
        <v>10</v>
      </c>
      <c r="I18" s="87">
        <f ca="1">_xll.PALO.DATAC("jedoxtest/EU_PM_CUBE02","EUPM_Mittel2_Cube",$C$65,"Alle Beteiligungen","Alle Koordinatoren","Alle Unternehmensgrößen","-2","Alle Organisationstypen",28,"Alle Expertevaluierungsstatus",$B18,"-2",BL_FactSheet_Bundesland,"-2","Alle","-2","anzahl_beteiligungen")</f>
        <v>10</v>
      </c>
      <c r="J18" s="86">
        <f ca="1">_xll.PALO.DATAC("jedoxtest/EU_PM_CUBE02","EUPM_Mittel2_Cube",$C$65,"Alle Beteiligungen","Alle Koordinatoren","Alle Unternehmensgrößen","-2","Alle Organisationstypen",5,"Alle Expertevaluierungsstatus",$B18,"-2",BL_FactSheet_Bundesland,"-2","Alle","-2","anzahl_beteiligungen")</f>
        <v>72</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4</v>
      </c>
      <c r="E19" s="86">
        <f t="shared" ca="1" si="0"/>
        <v>0</v>
      </c>
      <c r="F19" s="86">
        <f t="shared" ca="1" si="2"/>
        <v>18</v>
      </c>
      <c r="G19" s="80"/>
      <c r="H19" s="86">
        <f ca="1">_xll.PALO.DATAC("jedoxtest/EU_PM_CUBE02","EUPM_Mittel2_Cube",$C$65,"Alle Beteiligungen","Alle Koordinatoren","Alle Unternehmensgrößen","-2","Alle Organisationstypen",28,"Alle Expertevaluierungsstatus",$B19,"-2",BL_FactSheet_Bundesland,"-2","Alle","-2","anzahl_beteiligungen")</f>
        <v>4</v>
      </c>
      <c r="I19" s="87">
        <f ca="1">_xll.PALO.DATAC("jedoxtest/EU_PM_CUBE02","EUPM_Mittel2_Cube",$C$65,"Alle Beteiligungen","Alle Koordinatoren","Alle Unternehmensgrößen","-2","Alle Organisationstypen",28,"Alle Expertevaluierungsstatus",$B19,"-2",BL_FactSheet_Bundesland,"-2","Alle","-2","anzahl_beteiligungen")</f>
        <v>4</v>
      </c>
      <c r="J19" s="86">
        <f ca="1">_xll.PALO.DATAC("jedoxtest/EU_PM_CUBE02","EUPM_Mittel2_Cube",$C$65,"Alle Beteiligungen","Alle Koordinatoren","Alle Unternehmensgrößen","-2","Alle Organisationstypen",5,"Alle Expertevaluierungsstatus",$B19,"-2",BL_FactSheet_Bundesland,"-2","Alle","-2","anzahl_beteiligungen")</f>
        <v>22</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3</v>
      </c>
      <c r="E21" s="86">
        <f t="shared" ca="1" si="0"/>
        <v>0</v>
      </c>
      <c r="F21" s="86">
        <f t="shared" ca="1" si="2"/>
        <v>30</v>
      </c>
      <c r="G21" s="80"/>
      <c r="H21" s="86">
        <f ca="1">_xll.PALO.DATAC("jedoxtest/EU_PM_CUBE02","EUPM_Mittel2_Cube",$C$65,"Alle Beteiligungen","Alle Koordinatoren","Alle Unternehmensgrößen","-2","Alle Organisationstypen",28,"Alle Expertevaluierungsstatus",$B21,"-2",BL_FactSheet_Bundesland,"-2","Alle","-2","anzahl_beteiligungen")</f>
        <v>3</v>
      </c>
      <c r="I21" s="87">
        <f ca="1">_xll.PALO.DATAC("jedoxtest/EU_PM_CUBE02","EUPM_Mittel2_Cube",$C$65,"Alle Beteiligungen","Alle Koordinatoren","Alle Unternehmensgrößen","-2","Alle Organisationstypen",28,"Alle Expertevaluierungsstatus",$B21,"-2",BL_FactSheet_Bundesland,"-2","Alle","-2","anzahl_beteiligungen")</f>
        <v>3</v>
      </c>
      <c r="J21" s="86">
        <f ca="1">_xll.PALO.DATAC("jedoxtest/EU_PM_CUBE02","EUPM_Mittel2_Cube",$C$65,"Alle Beteiligungen","Alle Koordinatoren","Alle Unternehmensgrößen","-2","Alle Organisationstypen",5,"Alle Expertevaluierungsstatus",$B21,"-2",BL_FactSheet_Bundesland,"-2","Alle","-2","anzahl_beteiligungen")</f>
        <v>33</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0</v>
      </c>
      <c r="E22" s="86">
        <f t="shared" ca="1" si="0"/>
        <v>0</v>
      </c>
      <c r="F22" s="86">
        <f t="shared" ca="1" si="2"/>
        <v>2</v>
      </c>
      <c r="G22" s="80"/>
      <c r="H22" s="86">
        <f ca="1">_xll.PALO.DATAC("jedoxtest/EU_PM_CUBE02","EUPM_Mittel2_Cube",$C$65,"Alle Beteiligungen","Alle Koordinatoren","Alle Unternehmensgrößen","-2","Alle Organisationstypen",28,"Alle Expertevaluierungsstatus",$B22,"-2",BL_FactSheet_Bundesland,"-2","Alle","-2","anzahl_beteiligungen")</f>
        <v>0</v>
      </c>
      <c r="I22" s="87">
        <f ca="1">_xll.PALO.DATAC("jedoxtest/EU_PM_CUBE02","EUPM_Mittel2_Cube",$C$65,"Alle Beteiligungen","Alle Koordinatoren","Alle Unternehmensgrößen","-2","Alle Organisationstypen",28,"Alle Expertevaluierungsstatus",$B22,"-2",BL_FactSheet_Bundesland,"-2","Alle","-2","anzahl_beteiligungen")</f>
        <v>0</v>
      </c>
      <c r="J22" s="86">
        <f ca="1">_xll.PALO.DATAC("jedoxtest/EU_PM_CUBE02","EUPM_Mittel2_Cube",$C$65,"Alle Beteiligungen","Alle Koordinatoren","Alle Unternehmensgrößen","-2","Alle Organisationstypen",5,"Alle Expertevaluierungsstatus",$B22,"-2",BL_FactSheet_Bundesland,"-2","Alle","-2","anzahl_beteiligungen")</f>
        <v>2</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0</v>
      </c>
      <c r="E25" s="86">
        <f t="shared" ca="1" si="0"/>
        <v>0</v>
      </c>
      <c r="F25" s="86">
        <f t="shared" ca="1" si="2"/>
        <v>5</v>
      </c>
      <c r="G25" s="80"/>
      <c r="H25" s="86">
        <f ca="1">_xll.PALO.DATAC("jedoxtest/EU_PM_CUBE02","EUPM_Mittel2_Cube",$C$65,"Alle Beteiligungen","Alle Koordinatoren","Alle Unternehmensgrößen","-2","Alle Organisationstypen",28,"Alle Expertevaluierungsstatus",$B25,"-2",BL_FactSheet_Bundesland,"-2","Alle","-2","anzahl_beteiligungen")</f>
        <v>0</v>
      </c>
      <c r="I25" s="87">
        <f ca="1">_xll.PALO.DATAC("jedoxtest/EU_PM_CUBE02","EUPM_Mittel2_Cube",$C$65,"Alle Beteiligungen","Alle Koordinatoren","Alle Unternehmensgrößen","-2","Alle Organisationstypen",28,"Alle Expertevaluierungsstatus",$B25,"-2",BL_FactSheet_Bundesland,"-2","Alle","-2","anzahl_beteiligungen")</f>
        <v>0</v>
      </c>
      <c r="J25" s="86">
        <f ca="1">_xll.PALO.DATAC("jedoxtest/EU_PM_CUBE02","EUPM_Mittel2_Cube",$C$65,"Alle Beteiligungen","Alle Koordinatoren","Alle Unternehmensgrößen","-2","Alle Organisationstypen",5,"Alle Expertevaluierungsstatus",$B25,"-2",BL_FactSheet_Bundesland,"-2","Alle","-2","anzahl_beteiligungen")</f>
        <v>5</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0</v>
      </c>
      <c r="E26" s="86">
        <f t="shared" ca="1" si="0"/>
        <v>0</v>
      </c>
      <c r="F26" s="86">
        <f t="shared" ca="1" si="2"/>
        <v>0</v>
      </c>
      <c r="G26" s="80"/>
      <c r="H26" s="86">
        <f ca="1">_xll.PALO.DATAC("jedoxtest/EU_PM_CUBE02","EUPM_Mittel2_Cube",$C$65,"Alle Beteiligungen","Alle Koordinatoren","Alle Unternehmensgrößen","-2","Alle Organisationstypen",28,"Alle Expertevaluierungsstatus",$B26,"-2",BL_FactSheet_Bundesland,"-2","Alle","-2","anzahl_beteiligungen")</f>
        <v>0</v>
      </c>
      <c r="I26" s="87">
        <f ca="1">_xll.PALO.DATAC("jedoxtest/EU_PM_CUBE02","EUPM_Mittel2_Cube",$C$65,"Alle Beteiligungen","Alle Koordinatoren","Alle Unternehmensgrößen","-2","Alle Organisationstypen",28,"Alle Expertevaluierungsstatus",$B26,"-2",BL_FactSheet_Bundesland,"-2","Alle","-2","anzahl_beteiligungen")</f>
        <v>0</v>
      </c>
      <c r="J26" s="86">
        <f ca="1">_xll.PALO.DATAC("jedoxtest/EU_PM_CUBE02","EUPM_Mittel2_Cube",$C$65,"Alle Beteiligungen","Alle Koordinatoren","Alle Unternehmensgrößen","-2","Alle Organisationstypen",5,"Alle Expertevaluierungsstatus",$B26,"-2",BL_FactSheet_Bundesland,"-2","Alle","-2","anzahl_beteiligungen")</f>
        <v>0</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Salzburg</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73</v>
      </c>
      <c r="D38" s="101" t="str">
        <f ca="1">TEXT(_xll.PALO.DATAC("jedoxtest/EU_PM_CUBE02","EUPM_Mittel2_Cube",$C$65,"Alle Beteiligungen","Alle Koordinatoren","Alle Unternehmensgrößen","-2","Alle Organisationstypen",28,"Alle Expertevaluierungsstatus","-2","-2",BL_FactSheet_Bundesland,"-2","Alle","-2","foerderung"),"#.##0,0..")&amp;" Mio. €"</f>
        <v>31,2 Mio. €</v>
      </c>
      <c r="E38" s="101">
        <f ca="1">_xll.PALO.DATAC("jedoxtest/EU_PM_CUBE02","EUPM_Mittel2_Cube",$C$65,"Alle Beteiligungen","Alle Koordinatoren","Alle Unternehmensgrößen","-2","Alle Organisationstypen",28,"Alle Expertevaluierungsstatus","-2","-2",BL_FactSheet_Bundesland,"-2","Alle","-2","anzahl_koordinatoren")</f>
        <v>9</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1.8627200816534829E-2</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1.6812765492312552E-2</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1.1627906976744186E-2</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251</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252</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347</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364</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398</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36.290 Mio. €</v>
      </c>
      <c r="D52" s="105" t="str">
        <f>TEXT(VLOOKUP($D$65,uebbneu_Factsheet_AT!$C$72:$G$81,4,FALSE),"#.##0..")&amp;" Mio. €"</f>
        <v>535 Mio. €</v>
      </c>
      <c r="E52" s="106">
        <f>VLOOKUP($D$65,uebbneu_Factsheet_AT!$C$72:$G$81,5,FALSE)</f>
        <v>1.4738385230090934E-2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Salzburg: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44</v>
      </c>
      <c r="F60" s="93">
        <f ca="1">_xll.PALO.DATAC("jedoxtest/EU_PM_CUBE02","EUPM_Mittel2_Cube",$C$65,"Alle Beteiligungen","Alle Koordinatoren","Alle Unternehmensgrößen","-2",$C60,28,"Alle Expertevaluierungsstatus","-2","-2",BL_FactSheet_Bundesland,"-2","Alle","-2","anzahl_beteiligungen")/$C$38*100</f>
        <v>60.273972602739725</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15</v>
      </c>
      <c r="F61" s="93">
        <f ca="1">_xll.PALO.DATAC("jedoxtest/EU_PM_CUBE02","EUPM_Mittel2_Cube",$C$65,"Alle Beteiligungen","Alle Koordinatoren","Alle Unternehmensgrößen","-2",$C61,28,"Alle Expertevaluierungsstatus","-2","-2",BL_FactSheet_Bundesland,"-2","Alle","-2","anzahl_beteiligungen")/$C$38*100</f>
        <v>20.547945205479451</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7</v>
      </c>
      <c r="F62" s="93">
        <f ca="1">_xll.PALO.DATAC("jedoxtest/EU_PM_CUBE02","EUPM_Mittel2_Cube",$C$65,"Alle Beteiligungen","Alle Koordinatoren","Alle Unternehmensgrößen","-2",$C62,28,"Alle Expertevaluierungsstatus","-2","-2",BL_FactSheet_Bundesland,"-2","Alle","-2","anzahl_beteiligungen")/$C$38*100</f>
        <v>9.5890410958904102</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3</v>
      </c>
      <c r="F63" s="93">
        <f ca="1">_xll.PALO.DATAC("jedoxtest/EU_PM_CUBE02","EUPM_Mittel2_Cube",$C$65,"Alle Beteiligungen","Alle Koordinatoren","Alle Unternehmensgrößen","-2",$C63,28,"Alle Expertevaluierungsstatus","-2","-2",BL_FactSheet_Bundesland,"-2","Alle","-2","anzahl_beteiligungen")/$C$38*100</f>
        <v>4.10958904109589</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4</v>
      </c>
      <c r="F64" s="93">
        <f ca="1">_xll.PALO.DATAC("jedoxtest/EU_PM_CUBE02","EUPM_Mittel2_Cube",$C$65,"Alle Beteiligungen","Alle Koordinatoren","Alle Unternehmensgrößen","-2",$C64,28,"Alle Expertevaluierungsstatus","-2","-2",BL_FactSheet_Bundesland,"-2","Alle","-2","anzahl_beteiligungen")/$C$38*100</f>
        <v>5.4794520547945202</v>
      </c>
      <c r="G64" s="90"/>
      <c r="H64" s="90"/>
      <c r="I64" s="90"/>
      <c r="J64" s="90"/>
    </row>
    <row r="65" spans="3:10">
      <c r="C65" s="413" t="str">
        <f ca="1">_xll.PALO.ENAME("jedoxtest/EU_PM_CUBE02","Datenstand",3)</f>
        <v>117</v>
      </c>
      <c r="D65" s="91">
        <v>36</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44" priority="1">
      <formula>$D36=2</formula>
    </cfRule>
  </conditionalFormatting>
  <conditionalFormatting sqref="C38:C40">
    <cfRule type="expression" dxfId="43" priority="5">
      <formula>$D38=2</formula>
    </cfRule>
  </conditionalFormatting>
  <conditionalFormatting sqref="C42:E42">
    <cfRule type="expression" dxfId="42" priority="2">
      <formula>$D42=2</formula>
    </cfRule>
  </conditionalFormatting>
  <conditionalFormatting sqref="D38:E39">
    <cfRule type="expression" dxfId="41" priority="3">
      <formula>$D38=2</formula>
    </cfRule>
  </conditionalFormatting>
  <conditionalFormatting sqref="F10:F12 F14:F19 F21:F23 F25:F26 F28:F31">
    <cfRule type="expression" dxfId="40" priority="97">
      <formula>$B9=2</formula>
    </cfRule>
  </conditionalFormatting>
  <conditionalFormatting sqref="F10:F31">
    <cfRule type="expression" dxfId="39" priority="6">
      <formula>$B10=2</formula>
    </cfRule>
  </conditionalFormatting>
  <conditionalFormatting sqref="F13 F20 F24">
    <cfRule type="expression" dxfId="38" priority="100">
      <formula>#REF!=2</formula>
    </cfRule>
  </conditionalFormatting>
  <conditionalFormatting sqref="F27">
    <cfRule type="expression" dxfId="37" priority="103">
      <formula>#REF!=2</formula>
    </cfRule>
  </conditionalFormatting>
  <conditionalFormatting sqref="H10:J31">
    <cfRule type="expression" dxfId="36"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8">
    <tabColor rgb="FF92D050"/>
    <pageSetUpPr fitToPage="1"/>
  </sheetPr>
  <dimension ref="A1:IV85"/>
  <sheetViews>
    <sheetView zoomScaleNormal="100" workbookViewId="0"/>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Steiermark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37</v>
      </c>
      <c r="E10" s="86">
        <f t="shared" ref="E10:E28" ca="1" si="0">IF(I10=0,0,ABS(H10-I10))</f>
        <v>0</v>
      </c>
      <c r="F10" s="86">
        <f ca="1">J10-H10-E10</f>
        <v>149</v>
      </c>
      <c r="G10" s="80"/>
      <c r="H10" s="86">
        <f ca="1">_xll.PALO.DATAC("jedoxtest/EU_PM_CUBE02","EUPM_Mittel2_Cube",$C$65,"Alle Beteiligungen","Alle Koordinatoren","Alle Unternehmensgrößen","-2","Alle Organisationstypen",28,"Alle Expertevaluierungsstatus",$B10,"-2",BL_FactSheet_Bundesland,"-2","Alle","-2","anzahl_beteiligungen")</f>
        <v>37</v>
      </c>
      <c r="I10" s="87">
        <f ca="1">_xll.PALO.DATAC("jedoxtest/EU_PM_CUBE02","EUPM_Mittel2_Cube",$C$65,"Alle Beteiligungen","Alle Koordinatoren","Alle Unternehmensgrößen","-2","Alle Organisationstypen",28,"Alle Expertevaluierungsstatus",$B10,"-2",BL_FactSheet_Bundesland,"-2","Alle","-2","anzahl_beteiligungen")</f>
        <v>37</v>
      </c>
      <c r="J10" s="86">
        <f ca="1">_xll.PALO.DATAC("jedoxtest/EU_PM_CUBE02","EUPM_Mittel2_Cube",$C$65,"Alle Beteiligungen","Alle Koordinatoren","Alle Unternehmensgrößen","-2","Alle Organisationstypen",5,"Alle Expertevaluierungsstatus",$B10,"-2",BL_FactSheet_Bundesland,"-2","Alle","-2","anzahl_beteiligungen")</f>
        <v>186</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136</v>
      </c>
      <c r="E11" s="86">
        <f t="shared" ca="1" si="0"/>
        <v>0</v>
      </c>
      <c r="F11" s="86">
        <f t="shared" ref="F11:F28" ca="1" si="2">J11-H11-E11</f>
        <v>690</v>
      </c>
      <c r="G11" s="80"/>
      <c r="H11" s="86">
        <f ca="1">_xll.PALO.DATAC("jedoxtest/EU_PM_CUBE02","EUPM_Mittel2_Cube",$C$65,"Alle Beteiligungen","Alle Koordinatoren","Alle Unternehmensgrößen","-2","Alle Organisationstypen",28,"Alle Expertevaluierungsstatus",$B11,"-2",BL_FactSheet_Bundesland,"-2","Alle","-2","anzahl_beteiligungen")</f>
        <v>136</v>
      </c>
      <c r="I11" s="87">
        <f ca="1">_xll.PALO.DATAC("jedoxtest/EU_PM_CUBE02","EUPM_Mittel2_Cube",$C$65,"Alle Beteiligungen","Alle Koordinatoren","Alle Unternehmensgrößen","-2","Alle Organisationstypen",28,"Alle Expertevaluierungsstatus",$B11,"-2",BL_FactSheet_Bundesland,"-2","Alle","-2","anzahl_beteiligungen")</f>
        <v>136</v>
      </c>
      <c r="J11" s="86">
        <f ca="1">_xll.PALO.DATAC("jedoxtest/EU_PM_CUBE02","EUPM_Mittel2_Cube",$C$65,"Alle Beteiligungen","Alle Koordinatoren","Alle Unternehmensgrößen","-2","Alle Organisationstypen",5,"Alle Expertevaluierungsstatus",$B11,"-2",BL_FactSheet_Bundesland,"-2","Alle","-2","anzahl_beteiligungen")</f>
        <v>826</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41</v>
      </c>
      <c r="E12" s="86">
        <f t="shared" ca="1" si="0"/>
        <v>0</v>
      </c>
      <c r="F12" s="86">
        <f t="shared" ca="1" si="2"/>
        <v>36</v>
      </c>
      <c r="G12" s="80"/>
      <c r="H12" s="86">
        <f ca="1">_xll.PALO.DATAC("jedoxtest/EU_PM_CUBE02","EUPM_Mittel2_Cube",$C$65,"Alle Beteiligungen","Alle Koordinatoren","Alle Unternehmensgrößen","-2","Alle Organisationstypen",28,"Alle Expertevaluierungsstatus",$B12,"-2",BL_FactSheet_Bundesland,"-2","Alle","-2","anzahl_beteiligungen")</f>
        <v>41</v>
      </c>
      <c r="I12" s="87">
        <f ca="1">_xll.PALO.DATAC("jedoxtest/EU_PM_CUBE02","EUPM_Mittel2_Cube",$C$65,"Alle Beteiligungen","Alle Koordinatoren","Alle Unternehmensgrößen","-2","Alle Organisationstypen",28,"Alle Expertevaluierungsstatus",$B12,"-2",BL_FactSheet_Bundesland,"-2","Alle","-2","anzahl_beteiligungen")</f>
        <v>41</v>
      </c>
      <c r="J12" s="86">
        <f ca="1">_xll.PALO.DATAC("jedoxtest/EU_PM_CUBE02","EUPM_Mittel2_Cube",$C$65,"Alle Beteiligungen","Alle Koordinatoren","Alle Unternehmensgrößen","-2","Alle Organisationstypen",5,"Alle Expertevaluierungsstatus",$B12,"-2",BL_FactSheet_Bundesland,"-2","Alle","-2","anzahl_beteiligungen")</f>
        <v>77</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42</v>
      </c>
      <c r="E14" s="86">
        <f t="shared" ca="1" si="0"/>
        <v>0</v>
      </c>
      <c r="F14" s="86">
        <f t="shared" ca="1" si="2"/>
        <v>177</v>
      </c>
      <c r="G14" s="80"/>
      <c r="H14" s="86">
        <f ca="1">_xll.PALO.DATAC("jedoxtest/EU_PM_CUBE02","EUPM_Mittel2_Cube",$C$65,"Alle Beteiligungen","Alle Koordinatoren","Alle Unternehmensgrößen","-2","Alle Organisationstypen",28,"Alle Expertevaluierungsstatus",$B14,"-2",BL_FactSheet_Bundesland,"-2","Alle","-2","anzahl_beteiligungen")</f>
        <v>42</v>
      </c>
      <c r="I14" s="87">
        <f ca="1">_xll.PALO.DATAC("jedoxtest/EU_PM_CUBE02","EUPM_Mittel2_Cube",$C$65,"Alle Beteiligungen","Alle Koordinatoren","Alle Unternehmensgrößen","-2","Alle Organisationstypen",28,"Alle Expertevaluierungsstatus",$B14,"-2",BL_FactSheet_Bundesland,"-2","Alle","-2","anzahl_beteiligungen")</f>
        <v>42</v>
      </c>
      <c r="J14" s="86">
        <f ca="1">_xll.PALO.DATAC("jedoxtest/EU_PM_CUBE02","EUPM_Mittel2_Cube",$C$65,"Alle Beteiligungen","Alle Koordinatoren","Alle Unternehmensgrößen","-2","Alle Organisationstypen",5,"Alle Expertevaluierungsstatus",$B14,"-2",BL_FactSheet_Bundesland,"-2","Alle","-2","anzahl_beteiligungen")</f>
        <v>219</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10</v>
      </c>
      <c r="E15" s="86">
        <f t="shared" ca="1" si="0"/>
        <v>0</v>
      </c>
      <c r="F15" s="86">
        <f t="shared" ca="1" si="2"/>
        <v>128</v>
      </c>
      <c r="G15" s="80"/>
      <c r="H15" s="86">
        <f ca="1">_xll.PALO.DATAC("jedoxtest/EU_PM_CUBE02","EUPM_Mittel2_Cube",$C$65,"Alle Beteiligungen","Alle Koordinatoren","Alle Unternehmensgrößen","-2","Alle Organisationstypen",28,"Alle Expertevaluierungsstatus",$B15,"-2",BL_FactSheet_Bundesland,"-2","Alle","-2","anzahl_beteiligungen")</f>
        <v>10</v>
      </c>
      <c r="I15" s="87">
        <f ca="1">_xll.PALO.DATAC("jedoxtest/EU_PM_CUBE02","EUPM_Mittel2_Cube",$C$65,"Alle Beteiligungen","Alle Koordinatoren","Alle Unternehmensgrößen","-2","Alle Organisationstypen",28,"Alle Expertevaluierungsstatus",$B15,"-2",BL_FactSheet_Bundesland,"-2","Alle","-2","anzahl_beteiligungen")</f>
        <v>10</v>
      </c>
      <c r="J15" s="86">
        <f ca="1">_xll.PALO.DATAC("jedoxtest/EU_PM_CUBE02","EUPM_Mittel2_Cube",$C$65,"Alle Beteiligungen","Alle Koordinatoren","Alle Unternehmensgrößen","-2","Alle Organisationstypen",5,"Alle Expertevaluierungsstatus",$B15,"-2",BL_FactSheet_Bundesland,"-2","Alle","-2","anzahl_beteiligungen")</f>
        <v>138</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12</v>
      </c>
      <c r="E16" s="86">
        <f t="shared" ca="1" si="0"/>
        <v>0</v>
      </c>
      <c r="F16" s="86">
        <f t="shared" ca="1" si="2"/>
        <v>113</v>
      </c>
      <c r="G16" s="80"/>
      <c r="H16" s="86">
        <f ca="1">_xll.PALO.DATAC("jedoxtest/EU_PM_CUBE02","EUPM_Mittel2_Cube",$C$65,"Alle Beteiligungen","Alle Koordinatoren","Alle Unternehmensgrößen","-2","Alle Organisationstypen",28,"Alle Expertevaluierungsstatus",$B16,"-2",BL_FactSheet_Bundesland,"-2","Alle","-2","anzahl_beteiligungen")</f>
        <v>12</v>
      </c>
      <c r="I16" s="87">
        <f ca="1">_xll.PALO.DATAC("jedoxtest/EU_PM_CUBE02","EUPM_Mittel2_Cube",$C$65,"Alle Beteiligungen","Alle Koordinatoren","Alle Unternehmensgrößen","-2","Alle Organisationstypen",28,"Alle Expertevaluierungsstatus",$B16,"-2",BL_FactSheet_Bundesland,"-2","Alle","-2","anzahl_beteiligungen")</f>
        <v>12</v>
      </c>
      <c r="J16" s="86">
        <f ca="1">_xll.PALO.DATAC("jedoxtest/EU_PM_CUBE02","EUPM_Mittel2_Cube",$C$65,"Alle Beteiligungen","Alle Koordinatoren","Alle Unternehmensgrößen","-2","Alle Organisationstypen",5,"Alle Expertevaluierungsstatus",$B16,"-2",BL_FactSheet_Bundesland,"-2","Alle","-2","anzahl_beteiligungen")</f>
        <v>125</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211</v>
      </c>
      <c r="E17" s="86">
        <f t="shared" ca="1" si="0"/>
        <v>0</v>
      </c>
      <c r="F17" s="86">
        <f t="shared" ca="1" si="2"/>
        <v>748</v>
      </c>
      <c r="G17" s="80"/>
      <c r="H17" s="86">
        <f ca="1">_xll.PALO.DATAC("jedoxtest/EU_PM_CUBE02","EUPM_Mittel2_Cube",$C$65,"Alle Beteiligungen","Alle Koordinatoren","Alle Unternehmensgrößen","-2","Alle Organisationstypen",28,"Alle Expertevaluierungsstatus",$B17,"-2",BL_FactSheet_Bundesland,"-2","Alle","-2","anzahl_beteiligungen")</f>
        <v>211</v>
      </c>
      <c r="I17" s="87">
        <f ca="1">_xll.PALO.DATAC("jedoxtest/EU_PM_CUBE02","EUPM_Mittel2_Cube",$C$65,"Alle Beteiligungen","Alle Koordinatoren","Alle Unternehmensgrößen","-2","Alle Organisationstypen",28,"Alle Expertevaluierungsstatus",$B17,"-2",BL_FactSheet_Bundesland,"-2","Alle","-2","anzahl_beteiligungen")</f>
        <v>211</v>
      </c>
      <c r="J17" s="86">
        <f ca="1">_xll.PALO.DATAC("jedoxtest/EU_PM_CUBE02","EUPM_Mittel2_Cube",$C$65,"Alle Beteiligungen","Alle Koordinatoren","Alle Unternehmensgrößen","-2","Alle Organisationstypen",5,"Alle Expertevaluierungsstatus",$B17,"-2",BL_FactSheet_Bundesland,"-2","Alle","-2","anzahl_beteiligungen")</f>
        <v>959</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196</v>
      </c>
      <c r="E18" s="86">
        <f t="shared" ca="1" si="0"/>
        <v>0</v>
      </c>
      <c r="F18" s="86">
        <f t="shared" ca="1" si="2"/>
        <v>716</v>
      </c>
      <c r="G18" s="80"/>
      <c r="H18" s="86">
        <f ca="1">_xll.PALO.DATAC("jedoxtest/EU_PM_CUBE02","EUPM_Mittel2_Cube",$C$65,"Alle Beteiligungen","Alle Koordinatoren","Alle Unternehmensgrößen","-2","Alle Organisationstypen",28,"Alle Expertevaluierungsstatus",$B18,"-2",BL_FactSheet_Bundesland,"-2","Alle","-2","anzahl_beteiligungen")</f>
        <v>196</v>
      </c>
      <c r="I18" s="87">
        <f ca="1">_xll.PALO.DATAC("jedoxtest/EU_PM_CUBE02","EUPM_Mittel2_Cube",$C$65,"Alle Beteiligungen","Alle Koordinatoren","Alle Unternehmensgrößen","-2","Alle Organisationstypen",28,"Alle Expertevaluierungsstatus",$B18,"-2",BL_FactSheet_Bundesland,"-2","Alle","-2","anzahl_beteiligungen")</f>
        <v>196</v>
      </c>
      <c r="J18" s="86">
        <f ca="1">_xll.PALO.DATAC("jedoxtest/EU_PM_CUBE02","EUPM_Mittel2_Cube",$C$65,"Alle Beteiligungen","Alle Koordinatoren","Alle Unternehmensgrößen","-2","Alle Organisationstypen",5,"Alle Expertevaluierungsstatus",$B18,"-2",BL_FactSheet_Bundesland,"-2","Alle","-2","anzahl_beteiligungen")</f>
        <v>912</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51</v>
      </c>
      <c r="E19" s="86">
        <f t="shared" ca="1" si="0"/>
        <v>0</v>
      </c>
      <c r="F19" s="86">
        <f t="shared" ca="1" si="2"/>
        <v>186</v>
      </c>
      <c r="G19" s="80"/>
      <c r="H19" s="86">
        <f ca="1">_xll.PALO.DATAC("jedoxtest/EU_PM_CUBE02","EUPM_Mittel2_Cube",$C$65,"Alle Beteiligungen","Alle Koordinatoren","Alle Unternehmensgrößen","-2","Alle Organisationstypen",28,"Alle Expertevaluierungsstatus",$B19,"-2",BL_FactSheet_Bundesland,"-2","Alle","-2","anzahl_beteiligungen")</f>
        <v>51</v>
      </c>
      <c r="I19" s="87">
        <f ca="1">_xll.PALO.DATAC("jedoxtest/EU_PM_CUBE02","EUPM_Mittel2_Cube",$C$65,"Alle Beteiligungen","Alle Koordinatoren","Alle Unternehmensgrößen","-2","Alle Organisationstypen",28,"Alle Expertevaluierungsstatus",$B19,"-2",BL_FactSheet_Bundesland,"-2","Alle","-2","anzahl_beteiligungen")</f>
        <v>51</v>
      </c>
      <c r="J19" s="86">
        <f ca="1">_xll.PALO.DATAC("jedoxtest/EU_PM_CUBE02","EUPM_Mittel2_Cube",$C$65,"Alle Beteiligungen","Alle Koordinatoren","Alle Unternehmensgrößen","-2","Alle Organisationstypen",5,"Alle Expertevaluierungsstatus",$B19,"-2",BL_FactSheet_Bundesland,"-2","Alle","-2","anzahl_beteiligungen")</f>
        <v>237</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37</v>
      </c>
      <c r="E21" s="86">
        <f t="shared" ca="1" si="0"/>
        <v>0</v>
      </c>
      <c r="F21" s="86">
        <f t="shared" ca="1" si="2"/>
        <v>372</v>
      </c>
      <c r="G21" s="80"/>
      <c r="H21" s="86">
        <f ca="1">_xll.PALO.DATAC("jedoxtest/EU_PM_CUBE02","EUPM_Mittel2_Cube",$C$65,"Alle Beteiligungen","Alle Koordinatoren","Alle Unternehmensgrößen","-2","Alle Organisationstypen",28,"Alle Expertevaluierungsstatus",$B21,"-2",BL_FactSheet_Bundesland,"-2","Alle","-2","anzahl_beteiligungen")</f>
        <v>37</v>
      </c>
      <c r="I21" s="87">
        <f ca="1">_xll.PALO.DATAC("jedoxtest/EU_PM_CUBE02","EUPM_Mittel2_Cube",$C$65,"Alle Beteiligungen","Alle Koordinatoren","Alle Unternehmensgrößen","-2","Alle Organisationstypen",28,"Alle Expertevaluierungsstatus",$B21,"-2",BL_FactSheet_Bundesland,"-2","Alle","-2","anzahl_beteiligungen")</f>
        <v>37</v>
      </c>
      <c r="J21" s="86">
        <f ca="1">_xll.PALO.DATAC("jedoxtest/EU_PM_CUBE02","EUPM_Mittel2_Cube",$C$65,"Alle Beteiligungen","Alle Koordinatoren","Alle Unternehmensgrößen","-2","Alle Organisationstypen",5,"Alle Expertevaluierungsstatus",$B21,"-2",BL_FactSheet_Bundesland,"-2","Alle","-2","anzahl_beteiligungen")</f>
        <v>409</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3</v>
      </c>
      <c r="E22" s="86">
        <f t="shared" ca="1" si="0"/>
        <v>0</v>
      </c>
      <c r="F22" s="86">
        <f t="shared" ca="1" si="2"/>
        <v>26</v>
      </c>
      <c r="G22" s="80"/>
      <c r="H22" s="86">
        <f ca="1">_xll.PALO.DATAC("jedoxtest/EU_PM_CUBE02","EUPM_Mittel2_Cube",$C$65,"Alle Beteiligungen","Alle Koordinatoren","Alle Unternehmensgrößen","-2","Alle Organisationstypen",28,"Alle Expertevaluierungsstatus",$B22,"-2",BL_FactSheet_Bundesland,"-2","Alle","-2","anzahl_beteiligungen")</f>
        <v>3</v>
      </c>
      <c r="I22" s="87">
        <f ca="1">_xll.PALO.DATAC("jedoxtest/EU_PM_CUBE02","EUPM_Mittel2_Cube",$C$65,"Alle Beteiligungen","Alle Koordinatoren","Alle Unternehmensgrößen","-2","Alle Organisationstypen",28,"Alle Expertevaluierungsstatus",$B22,"-2",BL_FactSheet_Bundesland,"-2","Alle","-2","anzahl_beteiligungen")</f>
        <v>3</v>
      </c>
      <c r="J22" s="86">
        <f ca="1">_xll.PALO.DATAC("jedoxtest/EU_PM_CUBE02","EUPM_Mittel2_Cube",$C$65,"Alle Beteiligungen","Alle Koordinatoren","Alle Unternehmensgrößen","-2","Alle Organisationstypen",5,"Alle Expertevaluierungsstatus",$B22,"-2",BL_FactSheet_Bundesland,"-2","Alle","-2","anzahl_beteiligungen")</f>
        <v>29</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14</v>
      </c>
      <c r="E25" s="86">
        <f t="shared" ca="1" si="0"/>
        <v>0</v>
      </c>
      <c r="F25" s="86">
        <f t="shared" ca="1" si="2"/>
        <v>49</v>
      </c>
      <c r="G25" s="80"/>
      <c r="H25" s="86">
        <f ca="1">_xll.PALO.DATAC("jedoxtest/EU_PM_CUBE02","EUPM_Mittel2_Cube",$C$65,"Alle Beteiligungen","Alle Koordinatoren","Alle Unternehmensgrößen","-2","Alle Organisationstypen",28,"Alle Expertevaluierungsstatus",$B25,"-2",BL_FactSheet_Bundesland,"-2","Alle","-2","anzahl_beteiligungen")</f>
        <v>14</v>
      </c>
      <c r="I25" s="87">
        <f ca="1">_xll.PALO.DATAC("jedoxtest/EU_PM_CUBE02","EUPM_Mittel2_Cube",$C$65,"Alle Beteiligungen","Alle Koordinatoren","Alle Unternehmensgrößen","-2","Alle Organisationstypen",28,"Alle Expertevaluierungsstatus",$B25,"-2",BL_FactSheet_Bundesland,"-2","Alle","-2","anzahl_beteiligungen")</f>
        <v>14</v>
      </c>
      <c r="J25" s="86">
        <f ca="1">_xll.PALO.DATAC("jedoxtest/EU_PM_CUBE02","EUPM_Mittel2_Cube",$C$65,"Alle Beteiligungen","Alle Koordinatoren","Alle Unternehmensgrößen","-2","Alle Organisationstypen",5,"Alle Expertevaluierungsstatus",$B25,"-2",BL_FactSheet_Bundesland,"-2","Alle","-2","anzahl_beteiligungen")</f>
        <v>63</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7</v>
      </c>
      <c r="E26" s="86">
        <f t="shared" ca="1" si="0"/>
        <v>0</v>
      </c>
      <c r="F26" s="86">
        <f t="shared" ca="1" si="2"/>
        <v>22</v>
      </c>
      <c r="G26" s="80"/>
      <c r="H26" s="86">
        <f ca="1">_xll.PALO.DATAC("jedoxtest/EU_PM_CUBE02","EUPM_Mittel2_Cube",$C$65,"Alle Beteiligungen","Alle Koordinatoren","Alle Unternehmensgrößen","-2","Alle Organisationstypen",28,"Alle Expertevaluierungsstatus",$B26,"-2",BL_FactSheet_Bundesland,"-2","Alle","-2","anzahl_beteiligungen")</f>
        <v>7</v>
      </c>
      <c r="I26" s="87">
        <f ca="1">_xll.PALO.DATAC("jedoxtest/EU_PM_CUBE02","EUPM_Mittel2_Cube",$C$65,"Alle Beteiligungen","Alle Koordinatoren","Alle Unternehmensgrößen","-2","Alle Organisationstypen",28,"Alle Expertevaluierungsstatus",$B26,"-2",BL_FactSheet_Bundesland,"-2","Alle","-2","anzahl_beteiligungen")</f>
        <v>7</v>
      </c>
      <c r="J26" s="86">
        <f ca="1">_xll.PALO.DATAC("jedoxtest/EU_PM_CUBE02","EUPM_Mittel2_Cube",$C$65,"Alle Beteiligungen","Alle Koordinatoren","Alle Unternehmensgrößen","-2","Alle Organisationstypen",5,"Alle Expertevaluierungsstatus",$B26,"-2",BL_FactSheet_Bundesland,"-2","Alle","-2","anzahl_beteiligungen")</f>
        <v>29</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Steiermark</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797</v>
      </c>
      <c r="D38" s="101" t="str">
        <f ca="1">TEXT(_xll.PALO.DATAC("jedoxtest/EU_PM_CUBE02","EUPM_Mittel2_Cube",$C$65,"Alle Beteiligungen","Alle Koordinatoren","Alle Unternehmensgrößen","-2","Alle Organisationstypen",28,"Alle Expertevaluierungsstatus","-2","-2",BL_FactSheet_Bundesland,"-2","Alle","-2","foerderung"),"#.##0,0..")&amp;" Mio. €"</f>
        <v>386,9 Mio. €</v>
      </c>
      <c r="E38" s="101">
        <f ca="1">_xll.PALO.DATAC("jedoxtest/EU_PM_CUBE02","EUPM_Mittel2_Cube",$C$65,"Alle Beteiligungen","Alle Koordinatoren","Alle Unternehmensgrößen","-2","Alle Organisationstypen",28,"Alle Expertevaluierungsstatus","-2","-2",BL_FactSheet_Bundesland,"-2","Alle","-2","anzahl_koordinatoren")</f>
        <v>141</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0.20336820617504464</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0.20843920030275476</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0.18217054263565891</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321</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353" t="s">
        <v>204</v>
      </c>
      <c r="B46" s="80"/>
      <c r="C46" s="353" t="s">
        <v>259</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431</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335</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253</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61.224 Mio. €</v>
      </c>
      <c r="D52" s="105" t="str">
        <f>TEXT(VLOOKUP($D$65,uebbneu_Factsheet_AT!$C$72:$G$81,4,FALSE),"#.##0..")&amp;" Mio. €"</f>
        <v>3.161 Mio. €</v>
      </c>
      <c r="E52" s="106">
        <f>VLOOKUP($D$65,uebbneu_Factsheet_AT!$C$72:$G$81,5,FALSE)</f>
        <v>5.1626453678296096E-2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Steiermark: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267</v>
      </c>
      <c r="F60" s="93">
        <f ca="1">_xll.PALO.DATAC("jedoxtest/EU_PM_CUBE02","EUPM_Mittel2_Cube",$C$65,"Alle Beteiligungen","Alle Koordinatoren","Alle Unternehmensgrößen","-2",$C60,28,"Alle Expertevaluierungsstatus","-2","-2",BL_FactSheet_Bundesland,"-2","Alle","-2","anzahl_beteiligungen")/$C$38*100</f>
        <v>33.500627352572145</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240</v>
      </c>
      <c r="F61" s="93">
        <f ca="1">_xll.PALO.DATAC("jedoxtest/EU_PM_CUBE02","EUPM_Mittel2_Cube",$C$65,"Alle Beteiligungen","Alle Koordinatoren","Alle Unternehmensgrößen","-2",$C61,28,"Alle Expertevaluierungsstatus","-2","-2",BL_FactSheet_Bundesland,"-2","Alle","-2","anzahl_beteiligungen")/$C$38*100</f>
        <v>30.112923462986195</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267</v>
      </c>
      <c r="F62" s="93">
        <f ca="1">_xll.PALO.DATAC("jedoxtest/EU_PM_CUBE02","EUPM_Mittel2_Cube",$C$65,"Alle Beteiligungen","Alle Koordinatoren","Alle Unternehmensgrößen","-2",$C62,28,"Alle Expertevaluierungsstatus","-2","-2",BL_FactSheet_Bundesland,"-2","Alle","-2","anzahl_beteiligungen")/$C$38*100</f>
        <v>33.500627352572145</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9</v>
      </c>
      <c r="F63" s="93">
        <f ca="1">_xll.PALO.DATAC("jedoxtest/EU_PM_CUBE02","EUPM_Mittel2_Cube",$C$65,"Alle Beteiligungen","Alle Koordinatoren","Alle Unternehmensgrößen","-2",$C63,28,"Alle Expertevaluierungsstatus","-2","-2",BL_FactSheet_Bundesland,"-2","Alle","-2","anzahl_beteiligungen")/$C$38*100</f>
        <v>1.1292346298619824</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14</v>
      </c>
      <c r="F64" s="93">
        <f ca="1">_xll.PALO.DATAC("jedoxtest/EU_PM_CUBE02","EUPM_Mittel2_Cube",$C$65,"Alle Beteiligungen","Alle Koordinatoren","Alle Unternehmensgrößen","-2",$C64,28,"Alle Expertevaluierungsstatus","-2","-2",BL_FactSheet_Bundesland,"-2","Alle","-2","anzahl_beteiligungen")/$C$38*100</f>
        <v>1.7565872020075282</v>
      </c>
      <c r="G64" s="90"/>
      <c r="H64" s="90"/>
      <c r="I64" s="90"/>
      <c r="J64" s="90"/>
    </row>
    <row r="65" spans="3:10">
      <c r="C65" s="413" t="str">
        <f ca="1">_xll.PALO.ENAME("jedoxtest/EU_PM_CUBE02","Datenstand",3)</f>
        <v>117</v>
      </c>
      <c r="D65" s="91">
        <v>22</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35" priority="1">
      <formula>$D36=2</formula>
    </cfRule>
  </conditionalFormatting>
  <conditionalFormatting sqref="C38:C40">
    <cfRule type="expression" dxfId="34" priority="5">
      <formula>$D38=2</formula>
    </cfRule>
  </conditionalFormatting>
  <conditionalFormatting sqref="C42:E42">
    <cfRule type="expression" dxfId="33" priority="2">
      <formula>$D42=2</formula>
    </cfRule>
  </conditionalFormatting>
  <conditionalFormatting sqref="D38:E39">
    <cfRule type="expression" dxfId="32" priority="3">
      <formula>$D38=2</formula>
    </cfRule>
  </conditionalFormatting>
  <conditionalFormatting sqref="F10:F12 F14:F19 F21:F23 F25:F26 F28:F31">
    <cfRule type="expression" dxfId="31" priority="97">
      <formula>$B9=2</formula>
    </cfRule>
  </conditionalFormatting>
  <conditionalFormatting sqref="F10:F31">
    <cfRule type="expression" dxfId="30" priority="6">
      <formula>$B10=2</formula>
    </cfRule>
  </conditionalFormatting>
  <conditionalFormatting sqref="F13 F20 F24">
    <cfRule type="expression" dxfId="29" priority="100">
      <formula>#REF!=2</formula>
    </cfRule>
  </conditionalFormatting>
  <conditionalFormatting sqref="F27">
    <cfRule type="expression" dxfId="28" priority="103">
      <formula>#REF!=2</formula>
    </cfRule>
  </conditionalFormatting>
  <conditionalFormatting sqref="H10:J31">
    <cfRule type="expression" dxfId="27"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9">
    <tabColor rgb="FF92D050"/>
    <pageSetUpPr fitToPage="1"/>
  </sheetPr>
  <dimension ref="A1:IV85"/>
  <sheetViews>
    <sheetView zoomScaleNormal="100" workbookViewId="0"/>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Tirol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22</v>
      </c>
      <c r="E10" s="86">
        <f t="shared" ref="E10:E28" ca="1" si="0">IF(I10=0,0,ABS(H10-I10))</f>
        <v>0</v>
      </c>
      <c r="F10" s="86">
        <f ca="1">J10-H10-E10</f>
        <v>76</v>
      </c>
      <c r="G10" s="80"/>
      <c r="H10" s="86">
        <f ca="1">_xll.PALO.DATAC("jedoxtest/EU_PM_CUBE02","EUPM_Mittel2_Cube",$C$65,"Alle Beteiligungen","Alle Koordinatoren","Alle Unternehmensgrößen","-2","Alle Organisationstypen",28,"Alle Expertevaluierungsstatus",$B10,"-2",BL_FactSheet_Bundesland,"-2","Alle","-2","anzahl_beteiligungen")</f>
        <v>22</v>
      </c>
      <c r="I10" s="87">
        <f ca="1">_xll.PALO.DATAC("jedoxtest/EU_PM_CUBE02","EUPM_Mittel2_Cube",$C$65,"Alle Beteiligungen","Alle Koordinatoren","Alle Unternehmensgrößen","-2","Alle Organisationstypen",28,"Alle Expertevaluierungsstatus",$B10,"-2",BL_FactSheet_Bundesland,"-2","Alle","-2","anzahl_beteiligungen")</f>
        <v>22</v>
      </c>
      <c r="J10" s="86">
        <f ca="1">_xll.PALO.DATAC("jedoxtest/EU_PM_CUBE02","EUPM_Mittel2_Cube",$C$65,"Alle Beteiligungen","Alle Koordinatoren","Alle Unternehmensgrößen","-2","Alle Organisationstypen",5,"Alle Expertevaluierungsstatus",$B10,"-2",BL_FactSheet_Bundesland,"-2","Alle","-2","anzahl_beteiligungen")</f>
        <v>98</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52</v>
      </c>
      <c r="E11" s="86">
        <f t="shared" ca="1" si="0"/>
        <v>0</v>
      </c>
      <c r="F11" s="86">
        <f t="shared" ref="F11:F28" ca="1" si="2">J11-H11-E11</f>
        <v>263</v>
      </c>
      <c r="G11" s="80"/>
      <c r="H11" s="86">
        <f ca="1">_xll.PALO.DATAC("jedoxtest/EU_PM_CUBE02","EUPM_Mittel2_Cube",$C$65,"Alle Beteiligungen","Alle Koordinatoren","Alle Unternehmensgrößen","-2","Alle Organisationstypen",28,"Alle Expertevaluierungsstatus",$B11,"-2",BL_FactSheet_Bundesland,"-2","Alle","-2","anzahl_beteiligungen")</f>
        <v>52</v>
      </c>
      <c r="I11" s="87">
        <f ca="1">_xll.PALO.DATAC("jedoxtest/EU_PM_CUBE02","EUPM_Mittel2_Cube",$C$65,"Alle Beteiligungen","Alle Koordinatoren","Alle Unternehmensgrößen","-2","Alle Organisationstypen",28,"Alle Expertevaluierungsstatus",$B11,"-2",BL_FactSheet_Bundesland,"-2","Alle","-2","anzahl_beteiligungen")</f>
        <v>52</v>
      </c>
      <c r="J11" s="86">
        <f ca="1">_xll.PALO.DATAC("jedoxtest/EU_PM_CUBE02","EUPM_Mittel2_Cube",$C$65,"Alle Beteiligungen","Alle Koordinatoren","Alle Unternehmensgrößen","-2","Alle Organisationstypen",5,"Alle Expertevaluierungsstatus",$B11,"-2",BL_FactSheet_Bundesland,"-2","Alle","-2","anzahl_beteiligungen")</f>
        <v>315</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5</v>
      </c>
      <c r="E12" s="86">
        <f t="shared" ca="1" si="0"/>
        <v>0</v>
      </c>
      <c r="F12" s="86">
        <f t="shared" ca="1" si="2"/>
        <v>7</v>
      </c>
      <c r="G12" s="80"/>
      <c r="H12" s="86">
        <f ca="1">_xll.PALO.DATAC("jedoxtest/EU_PM_CUBE02","EUPM_Mittel2_Cube",$C$65,"Alle Beteiligungen","Alle Koordinatoren","Alle Unternehmensgrößen","-2","Alle Organisationstypen",28,"Alle Expertevaluierungsstatus",$B12,"-2",BL_FactSheet_Bundesland,"-2","Alle","-2","anzahl_beteiligungen")</f>
        <v>5</v>
      </c>
      <c r="I12" s="87">
        <f ca="1">_xll.PALO.DATAC("jedoxtest/EU_PM_CUBE02","EUPM_Mittel2_Cube",$C$65,"Alle Beteiligungen","Alle Koordinatoren","Alle Unternehmensgrößen","-2","Alle Organisationstypen",28,"Alle Expertevaluierungsstatus",$B12,"-2",BL_FactSheet_Bundesland,"-2","Alle","-2","anzahl_beteiligungen")</f>
        <v>5</v>
      </c>
      <c r="J12" s="86">
        <f ca="1">_xll.PALO.DATAC("jedoxtest/EU_PM_CUBE02","EUPM_Mittel2_Cube",$C$65,"Alle Beteiligungen","Alle Koordinatoren","Alle Unternehmensgrößen","-2","Alle Organisationstypen",5,"Alle Expertevaluierungsstatus",$B12,"-2",BL_FactSheet_Bundesland,"-2","Alle","-2","anzahl_beteiligungen")</f>
        <v>12</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19</v>
      </c>
      <c r="E14" s="86">
        <f t="shared" ca="1" si="0"/>
        <v>0</v>
      </c>
      <c r="F14" s="86">
        <f t="shared" ca="1" si="2"/>
        <v>76</v>
      </c>
      <c r="G14" s="80"/>
      <c r="H14" s="86">
        <f ca="1">_xll.PALO.DATAC("jedoxtest/EU_PM_CUBE02","EUPM_Mittel2_Cube",$C$65,"Alle Beteiligungen","Alle Koordinatoren","Alle Unternehmensgrößen","-2","Alle Organisationstypen",28,"Alle Expertevaluierungsstatus",$B14,"-2",BL_FactSheet_Bundesland,"-2","Alle","-2","anzahl_beteiligungen")</f>
        <v>19</v>
      </c>
      <c r="I14" s="87">
        <f ca="1">_xll.PALO.DATAC("jedoxtest/EU_PM_CUBE02","EUPM_Mittel2_Cube",$C$65,"Alle Beteiligungen","Alle Koordinatoren","Alle Unternehmensgrößen","-2","Alle Organisationstypen",28,"Alle Expertevaluierungsstatus",$B14,"-2",BL_FactSheet_Bundesland,"-2","Alle","-2","anzahl_beteiligungen")</f>
        <v>19</v>
      </c>
      <c r="J14" s="86">
        <f ca="1">_xll.PALO.DATAC("jedoxtest/EU_PM_CUBE02","EUPM_Mittel2_Cube",$C$65,"Alle Beteiligungen","Alle Koordinatoren","Alle Unternehmensgrößen","-2","Alle Organisationstypen",5,"Alle Expertevaluierungsstatus",$B14,"-2",BL_FactSheet_Bundesland,"-2","Alle","-2","anzahl_beteiligungen")</f>
        <v>95</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7</v>
      </c>
      <c r="E15" s="86">
        <f t="shared" ca="1" si="0"/>
        <v>0</v>
      </c>
      <c r="F15" s="86">
        <f t="shared" ca="1" si="2"/>
        <v>40</v>
      </c>
      <c r="G15" s="80"/>
      <c r="H15" s="86">
        <f ca="1">_xll.PALO.DATAC("jedoxtest/EU_PM_CUBE02","EUPM_Mittel2_Cube",$C$65,"Alle Beteiligungen","Alle Koordinatoren","Alle Unternehmensgrößen","-2","Alle Organisationstypen",28,"Alle Expertevaluierungsstatus",$B15,"-2",BL_FactSheet_Bundesland,"-2","Alle","-2","anzahl_beteiligungen")</f>
        <v>7</v>
      </c>
      <c r="I15" s="87">
        <f ca="1">_xll.PALO.DATAC("jedoxtest/EU_PM_CUBE02","EUPM_Mittel2_Cube",$C$65,"Alle Beteiligungen","Alle Koordinatoren","Alle Unternehmensgrößen","-2","Alle Organisationstypen",28,"Alle Expertevaluierungsstatus",$B15,"-2",BL_FactSheet_Bundesland,"-2","Alle","-2","anzahl_beteiligungen")</f>
        <v>7</v>
      </c>
      <c r="J15" s="86">
        <f ca="1">_xll.PALO.DATAC("jedoxtest/EU_PM_CUBE02","EUPM_Mittel2_Cube",$C$65,"Alle Beteiligungen","Alle Koordinatoren","Alle Unternehmensgrößen","-2","Alle Organisationstypen",5,"Alle Expertevaluierungsstatus",$B15,"-2",BL_FactSheet_Bundesland,"-2","Alle","-2","anzahl_beteiligungen")</f>
        <v>47</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5</v>
      </c>
      <c r="E16" s="86">
        <f t="shared" ca="1" si="0"/>
        <v>0</v>
      </c>
      <c r="F16" s="86">
        <f t="shared" ca="1" si="2"/>
        <v>18</v>
      </c>
      <c r="G16" s="80"/>
      <c r="H16" s="86">
        <f ca="1">_xll.PALO.DATAC("jedoxtest/EU_PM_CUBE02","EUPM_Mittel2_Cube",$C$65,"Alle Beteiligungen","Alle Koordinatoren","Alle Unternehmensgrößen","-2","Alle Organisationstypen",28,"Alle Expertevaluierungsstatus",$B16,"-2",BL_FactSheet_Bundesland,"-2","Alle","-2","anzahl_beteiligungen")</f>
        <v>5</v>
      </c>
      <c r="I16" s="87">
        <f ca="1">_xll.PALO.DATAC("jedoxtest/EU_PM_CUBE02","EUPM_Mittel2_Cube",$C$65,"Alle Beteiligungen","Alle Koordinatoren","Alle Unternehmensgrößen","-2","Alle Organisationstypen",28,"Alle Expertevaluierungsstatus",$B16,"-2",BL_FactSheet_Bundesland,"-2","Alle","-2","anzahl_beteiligungen")</f>
        <v>5</v>
      </c>
      <c r="J16" s="86">
        <f ca="1">_xll.PALO.DATAC("jedoxtest/EU_PM_CUBE02","EUPM_Mittel2_Cube",$C$65,"Alle Beteiligungen","Alle Koordinatoren","Alle Unternehmensgrößen","-2","Alle Organisationstypen",5,"Alle Expertevaluierungsstatus",$B16,"-2",BL_FactSheet_Bundesland,"-2","Alle","-2","anzahl_beteiligungen")</f>
        <v>23</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49</v>
      </c>
      <c r="E17" s="86">
        <f t="shared" ca="1" si="0"/>
        <v>0</v>
      </c>
      <c r="F17" s="86">
        <f t="shared" ca="1" si="2"/>
        <v>84</v>
      </c>
      <c r="G17" s="80"/>
      <c r="H17" s="86">
        <f ca="1">_xll.PALO.DATAC("jedoxtest/EU_PM_CUBE02","EUPM_Mittel2_Cube",$C$65,"Alle Beteiligungen","Alle Koordinatoren","Alle Unternehmensgrößen","-2","Alle Organisationstypen",28,"Alle Expertevaluierungsstatus",$B17,"-2",BL_FactSheet_Bundesland,"-2","Alle","-2","anzahl_beteiligungen")</f>
        <v>49</v>
      </c>
      <c r="I17" s="87">
        <f ca="1">_xll.PALO.DATAC("jedoxtest/EU_PM_CUBE02","EUPM_Mittel2_Cube",$C$65,"Alle Beteiligungen","Alle Koordinatoren","Alle Unternehmensgrößen","-2","Alle Organisationstypen",28,"Alle Expertevaluierungsstatus",$B17,"-2",BL_FactSheet_Bundesland,"-2","Alle","-2","anzahl_beteiligungen")</f>
        <v>49</v>
      </c>
      <c r="J17" s="86">
        <f ca="1">_xll.PALO.DATAC("jedoxtest/EU_PM_CUBE02","EUPM_Mittel2_Cube",$C$65,"Alle Beteiligungen","Alle Koordinatoren","Alle Unternehmensgrößen","-2","Alle Organisationstypen",5,"Alle Expertevaluierungsstatus",$B17,"-2",BL_FactSheet_Bundesland,"-2","Alle","-2","anzahl_beteiligungen")</f>
        <v>133</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34</v>
      </c>
      <c r="E18" s="86">
        <f t="shared" ca="1" si="0"/>
        <v>0</v>
      </c>
      <c r="F18" s="86">
        <f t="shared" ca="1" si="2"/>
        <v>117</v>
      </c>
      <c r="G18" s="80"/>
      <c r="H18" s="86">
        <f ca="1">_xll.PALO.DATAC("jedoxtest/EU_PM_CUBE02","EUPM_Mittel2_Cube",$C$65,"Alle Beteiligungen","Alle Koordinatoren","Alle Unternehmensgrößen","-2","Alle Organisationstypen",28,"Alle Expertevaluierungsstatus",$B18,"-2",BL_FactSheet_Bundesland,"-2","Alle","-2","anzahl_beteiligungen")</f>
        <v>34</v>
      </c>
      <c r="I18" s="87">
        <f ca="1">_xll.PALO.DATAC("jedoxtest/EU_PM_CUBE02","EUPM_Mittel2_Cube",$C$65,"Alle Beteiligungen","Alle Koordinatoren","Alle Unternehmensgrößen","-2","Alle Organisationstypen",28,"Alle Expertevaluierungsstatus",$B18,"-2",BL_FactSheet_Bundesland,"-2","Alle","-2","anzahl_beteiligungen")</f>
        <v>34</v>
      </c>
      <c r="J18" s="86">
        <f ca="1">_xll.PALO.DATAC("jedoxtest/EU_PM_CUBE02","EUPM_Mittel2_Cube",$C$65,"Alle Beteiligungen","Alle Koordinatoren","Alle Unternehmensgrößen","-2","Alle Organisationstypen",5,"Alle Expertevaluierungsstatus",$B18,"-2",BL_FactSheet_Bundesland,"-2","Alle","-2","anzahl_beteiligungen")</f>
        <v>151</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10</v>
      </c>
      <c r="E19" s="86">
        <f t="shared" ca="1" si="0"/>
        <v>0</v>
      </c>
      <c r="F19" s="86">
        <f t="shared" ca="1" si="2"/>
        <v>63</v>
      </c>
      <c r="G19" s="80"/>
      <c r="H19" s="86">
        <f ca="1">_xll.PALO.DATAC("jedoxtest/EU_PM_CUBE02","EUPM_Mittel2_Cube",$C$65,"Alle Beteiligungen","Alle Koordinatoren","Alle Unternehmensgrößen","-2","Alle Organisationstypen",28,"Alle Expertevaluierungsstatus",$B19,"-2",BL_FactSheet_Bundesland,"-2","Alle","-2","anzahl_beteiligungen")</f>
        <v>10</v>
      </c>
      <c r="I19" s="87">
        <f ca="1">_xll.PALO.DATAC("jedoxtest/EU_PM_CUBE02","EUPM_Mittel2_Cube",$C$65,"Alle Beteiligungen","Alle Koordinatoren","Alle Unternehmensgrößen","-2","Alle Organisationstypen",28,"Alle Expertevaluierungsstatus",$B19,"-2",BL_FactSheet_Bundesland,"-2","Alle","-2","anzahl_beteiligungen")</f>
        <v>10</v>
      </c>
      <c r="J19" s="86">
        <f ca="1">_xll.PALO.DATAC("jedoxtest/EU_PM_CUBE02","EUPM_Mittel2_Cube",$C$65,"Alle Beteiligungen","Alle Koordinatoren","Alle Unternehmensgrößen","-2","Alle Organisationstypen",5,"Alle Expertevaluierungsstatus",$B19,"-2",BL_FactSheet_Bundesland,"-2","Alle","-2","anzahl_beteiligungen")</f>
        <v>73</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8</v>
      </c>
      <c r="E21" s="86">
        <f t="shared" ca="1" si="0"/>
        <v>0</v>
      </c>
      <c r="F21" s="86">
        <f t="shared" ca="1" si="2"/>
        <v>94</v>
      </c>
      <c r="G21" s="80"/>
      <c r="H21" s="86">
        <f ca="1">_xll.PALO.DATAC("jedoxtest/EU_PM_CUBE02","EUPM_Mittel2_Cube",$C$65,"Alle Beteiligungen","Alle Koordinatoren","Alle Unternehmensgrößen","-2","Alle Organisationstypen",28,"Alle Expertevaluierungsstatus",$B21,"-2",BL_FactSheet_Bundesland,"-2","Alle","-2","anzahl_beteiligungen")</f>
        <v>8</v>
      </c>
      <c r="I21" s="87">
        <f ca="1">_xll.PALO.DATAC("jedoxtest/EU_PM_CUBE02","EUPM_Mittel2_Cube",$C$65,"Alle Beteiligungen","Alle Koordinatoren","Alle Unternehmensgrößen","-2","Alle Organisationstypen",28,"Alle Expertevaluierungsstatus",$B21,"-2",BL_FactSheet_Bundesland,"-2","Alle","-2","anzahl_beteiligungen")</f>
        <v>8</v>
      </c>
      <c r="J21" s="86">
        <f ca="1">_xll.PALO.DATAC("jedoxtest/EU_PM_CUBE02","EUPM_Mittel2_Cube",$C$65,"Alle Beteiligungen","Alle Koordinatoren","Alle Unternehmensgrößen","-2","Alle Organisationstypen",5,"Alle Expertevaluierungsstatus",$B21,"-2",BL_FactSheet_Bundesland,"-2","Alle","-2","anzahl_beteiligungen")</f>
        <v>102</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0</v>
      </c>
      <c r="E22" s="86">
        <f t="shared" ca="1" si="0"/>
        <v>0</v>
      </c>
      <c r="F22" s="86">
        <f t="shared" ca="1" si="2"/>
        <v>3</v>
      </c>
      <c r="G22" s="80"/>
      <c r="H22" s="86">
        <f ca="1">_xll.PALO.DATAC("jedoxtest/EU_PM_CUBE02","EUPM_Mittel2_Cube",$C$65,"Alle Beteiligungen","Alle Koordinatoren","Alle Unternehmensgrößen","-2","Alle Organisationstypen",28,"Alle Expertevaluierungsstatus",$B22,"-2",BL_FactSheet_Bundesland,"-2","Alle","-2","anzahl_beteiligungen")</f>
        <v>0</v>
      </c>
      <c r="I22" s="87">
        <f ca="1">_xll.PALO.DATAC("jedoxtest/EU_PM_CUBE02","EUPM_Mittel2_Cube",$C$65,"Alle Beteiligungen","Alle Koordinatoren","Alle Unternehmensgrößen","-2","Alle Organisationstypen",28,"Alle Expertevaluierungsstatus",$B22,"-2",BL_FactSheet_Bundesland,"-2","Alle","-2","anzahl_beteiligungen")</f>
        <v>0</v>
      </c>
      <c r="J22" s="86">
        <f ca="1">_xll.PALO.DATAC("jedoxtest/EU_PM_CUBE02","EUPM_Mittel2_Cube",$C$65,"Alle Beteiligungen","Alle Koordinatoren","Alle Unternehmensgrößen","-2","Alle Organisationstypen",5,"Alle Expertevaluierungsstatus",$B22,"-2",BL_FactSheet_Bundesland,"-2","Alle","-2","anzahl_beteiligungen")</f>
        <v>3</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1</v>
      </c>
      <c r="E25" s="86">
        <f t="shared" ca="1" si="0"/>
        <v>0</v>
      </c>
      <c r="F25" s="86">
        <f t="shared" ca="1" si="2"/>
        <v>17</v>
      </c>
      <c r="G25" s="80"/>
      <c r="H25" s="86">
        <f ca="1">_xll.PALO.DATAC("jedoxtest/EU_PM_CUBE02","EUPM_Mittel2_Cube",$C$65,"Alle Beteiligungen","Alle Koordinatoren","Alle Unternehmensgrößen","-2","Alle Organisationstypen",28,"Alle Expertevaluierungsstatus",$B25,"-2",BL_FactSheet_Bundesland,"-2","Alle","-2","anzahl_beteiligungen")</f>
        <v>1</v>
      </c>
      <c r="I25" s="87">
        <f ca="1">_xll.PALO.DATAC("jedoxtest/EU_PM_CUBE02","EUPM_Mittel2_Cube",$C$65,"Alle Beteiligungen","Alle Koordinatoren","Alle Unternehmensgrößen","-2","Alle Organisationstypen",28,"Alle Expertevaluierungsstatus",$B25,"-2",BL_FactSheet_Bundesland,"-2","Alle","-2","anzahl_beteiligungen")</f>
        <v>1</v>
      </c>
      <c r="J25" s="86">
        <f ca="1">_xll.PALO.DATAC("jedoxtest/EU_PM_CUBE02","EUPM_Mittel2_Cube",$C$65,"Alle Beteiligungen","Alle Koordinatoren","Alle Unternehmensgrößen","-2","Alle Organisationstypen",5,"Alle Expertevaluierungsstatus",$B25,"-2",BL_FactSheet_Bundesland,"-2","Alle","-2","anzahl_beteiligungen")</f>
        <v>18</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0</v>
      </c>
      <c r="E26" s="86">
        <f t="shared" ca="1" si="0"/>
        <v>0</v>
      </c>
      <c r="F26" s="86">
        <f t="shared" ca="1" si="2"/>
        <v>4</v>
      </c>
      <c r="G26" s="80"/>
      <c r="H26" s="86">
        <f ca="1">_xll.PALO.DATAC("jedoxtest/EU_PM_CUBE02","EUPM_Mittel2_Cube",$C$65,"Alle Beteiligungen","Alle Koordinatoren","Alle Unternehmensgrößen","-2","Alle Organisationstypen",28,"Alle Expertevaluierungsstatus",$B26,"-2",BL_FactSheet_Bundesland,"-2","Alle","-2","anzahl_beteiligungen")</f>
        <v>0</v>
      </c>
      <c r="I26" s="87">
        <f ca="1">_xll.PALO.DATAC("jedoxtest/EU_PM_CUBE02","EUPM_Mittel2_Cube",$C$65,"Alle Beteiligungen","Alle Koordinatoren","Alle Unternehmensgrößen","-2","Alle Organisationstypen",28,"Alle Expertevaluierungsstatus",$B26,"-2",BL_FactSheet_Bundesland,"-2","Alle","-2","anzahl_beteiligungen")</f>
        <v>0</v>
      </c>
      <c r="J26" s="86">
        <f ca="1">_xll.PALO.DATAC("jedoxtest/EU_PM_CUBE02","EUPM_Mittel2_Cube",$C$65,"Alle Beteiligungen","Alle Koordinatoren","Alle Unternehmensgrößen","-2","Alle Organisationstypen",5,"Alle Expertevaluierungsstatus",$B26,"-2",BL_FactSheet_Bundesland,"-2","Alle","-2","anzahl_beteiligungen")</f>
        <v>4</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s="72" customFormat="1" ht="15" customHeight="1">
      <c r="A36" s="80"/>
      <c r="B36" s="80"/>
      <c r="C36" s="748" t="str">
        <f ca="1">"Eckdaten für "&amp;_xll.PALO.DATA("jedoxtest/EU_PM_CUBE02","#_Staatengruppen_und_NUTS","Langbezeichnung",BL_FactSheet_Bundesland)</f>
        <v>Eckdaten für Tirol</v>
      </c>
      <c r="D36" s="748"/>
      <c r="E36" s="748"/>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ht="15" customHeight="1">
      <c r="C37" s="98" t="s">
        <v>1</v>
      </c>
      <c r="D37" s="99" t="s">
        <v>46</v>
      </c>
      <c r="E37" s="100" t="s">
        <v>3</v>
      </c>
    </row>
    <row r="38" spans="1:256" s="72" customFormat="1" ht="15" customHeight="1">
      <c r="A38" s="80"/>
      <c r="B38" s="80"/>
      <c r="C38" s="101">
        <f ca="1">_xll.PALO.DATAC("jedoxtest/EU_PM_CUBE02","EUPM_Mittel2_Cube",$C$65,"Alle Beteiligungen","Alle Koordinatoren","Alle Unternehmensgrößen","-2","Alle Organisationstypen",28,"Alle Expertevaluierungsstatus","-2","-2",BL_FactSheet_Bundesland,"-2","Alle","-2","anzahl_beteiligungen")</f>
        <v>212</v>
      </c>
      <c r="D38" s="101" t="str">
        <f ca="1">TEXT(_xll.PALO.DATAC("jedoxtest/EU_PM_CUBE02","EUPM_Mittel2_Cube",$C$65,"Alle Beteiligungen","Alle Koordinatoren","Alle Unternehmensgrößen","-2","Alle Organisationstypen",28,"Alle Expertevaluierungsstatus","-2","-2",BL_FactSheet_Bundesland,"-2","Alle","-2","foerderung"),"#.##0,0..")&amp;" Mio. €"</f>
        <v>89,2 Mio. €</v>
      </c>
      <c r="E38" s="101">
        <f ca="1">_xll.PALO.DATAC("jedoxtest/EU_PM_CUBE02","EUPM_Mittel2_Cube",$C$65,"Alle Beteiligungen","Alle Koordinatoren","Alle Unternehmensgrößen","-2","Alle Organisationstypen",28,"Alle Expertevaluierungsstatus","-2","-2",BL_FactSheet_Bundesland,"-2","Alle","-2","anzahl_koordinatoren")</f>
        <v>34</v>
      </c>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3.75" customHeight="1">
      <c r="A39" s="80"/>
      <c r="B39" s="80"/>
      <c r="C39" s="101"/>
      <c r="D39" s="101"/>
      <c r="E39" s="101"/>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748" t="s">
        <v>293</v>
      </c>
      <c r="D40" s="748"/>
      <c r="E40" s="748"/>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98" t="s">
        <v>1</v>
      </c>
      <c r="D41" s="99" t="s">
        <v>46</v>
      </c>
      <c r="E41" s="100" t="s">
        <v>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5.4095432508292934E-2</v>
      </c>
      <c r="D42"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4.8033727340552529E-2</v>
      </c>
      <c r="E42"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4.3927648578811367E-2</v>
      </c>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s="72" customFormat="1" ht="15" customHeight="1">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ht="15" customHeight="1">
      <c r="C44" s="747" t="str">
        <f>UPPER("Top Player mit Vertrag in Horizon Europe")</f>
        <v>TOP PLAYER MIT VERTRAG IN HORIZON EUROPE</v>
      </c>
      <c r="D44" s="747"/>
      <c r="E44" s="747"/>
    </row>
    <row r="45" spans="1:256" s="72" customFormat="1">
      <c r="A45" s="80"/>
      <c r="B45" s="80"/>
      <c r="C45" s="417" t="s">
        <v>201</v>
      </c>
      <c r="D45" s="654"/>
      <c r="E45" s="654"/>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205</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264</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t="s">
        <v>399</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t="s">
        <v>12</v>
      </c>
      <c r="C49" s="353" t="s">
        <v>336</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s="72" customFormat="1" ht="15" customHeight="1">
      <c r="A50" s="80"/>
      <c r="B50" s="80"/>
      <c r="C50" s="353"/>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ht="15" customHeight="1">
      <c r="C51" s="102" t="s">
        <v>405</v>
      </c>
      <c r="D51" s="103" t="s">
        <v>406</v>
      </c>
      <c r="E51" s="104" t="s">
        <v>407</v>
      </c>
    </row>
    <row r="52" spans="1:256" s="72" customFormat="1" ht="15" customHeight="1">
      <c r="A52" s="80"/>
      <c r="B52" s="80"/>
      <c r="C52" s="105" t="str">
        <f>TEXT(VLOOKUP($D$65,uebbneu_Factsheet_AT!$C$72:$G$81,3,FALSE),"#.##0..")&amp;" Mio. €"</f>
        <v>41.953 Mio. €</v>
      </c>
      <c r="D52" s="105" t="str">
        <f>TEXT(VLOOKUP($D$65,uebbneu_Factsheet_AT!$C$72:$G$81,4,FALSE),"#.##0..")&amp;" Mio. €"</f>
        <v>1.252 Mio. €</v>
      </c>
      <c r="E52" s="106">
        <f>VLOOKUP($D$65,uebbneu_Factsheet_AT!$C$72:$G$81,5,FALSE)</f>
        <v>2.9837556313016947E-2</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c r="HW52" s="80"/>
      <c r="HX52" s="80"/>
      <c r="HY52" s="80"/>
      <c r="HZ52" s="80"/>
      <c r="IA52" s="80"/>
      <c r="IB52" s="80"/>
      <c r="IC52" s="80"/>
      <c r="ID52" s="80"/>
      <c r="IE52" s="80"/>
      <c r="IF52" s="80"/>
      <c r="IG52" s="80"/>
      <c r="IH52" s="80"/>
      <c r="II52" s="80"/>
      <c r="IJ52" s="80"/>
      <c r="IK52" s="80"/>
      <c r="IL52" s="80"/>
      <c r="IM52" s="80"/>
      <c r="IN52" s="80"/>
      <c r="IO52" s="80"/>
      <c r="IP52" s="80"/>
      <c r="IQ52" s="80"/>
      <c r="IR52" s="80"/>
      <c r="IS52" s="80"/>
      <c r="IT52" s="80"/>
      <c r="IU52" s="80"/>
      <c r="IV52" s="80"/>
    </row>
    <row r="53" spans="1:256" s="311" customFormat="1" ht="15" customHeight="1"/>
    <row r="54" spans="1:256" customFormat="1"/>
    <row r="55" spans="1:256" s="311" customFormat="1" ht="15" customHeight="1">
      <c r="C55" s="740" t="str">
        <f ca="1">"Quelle HEU: EC "&amp;_xll.PALO.DATA("jedoxtest/EU_PM_CUBE02","#_Datenstand","reference_month",$C$65)&amp;"/"&amp;_xll.PALO.DATA("jedoxtest/EU_PM_CUBE02","#_Datenstand","reference_year",$C$65)</f>
        <v>Quelle HEU: EC 5/2026</v>
      </c>
      <c r="D55" s="740"/>
      <c r="E55" s="740"/>
      <c r="F55" s="740"/>
      <c r="G55" s="740"/>
      <c r="H55" s="740"/>
      <c r="I55" s="740"/>
      <c r="J55" s="740"/>
    </row>
    <row r="56" spans="1:256" s="311" customFormat="1" ht="15" customHeight="1">
      <c r="C56" s="740" t="s">
        <v>73</v>
      </c>
      <c r="D56" s="740"/>
      <c r="E56" s="740"/>
      <c r="F56" s="740"/>
      <c r="G56" s="740"/>
      <c r="H56" s="740"/>
      <c r="I56" s="740"/>
      <c r="J56" s="740"/>
    </row>
    <row r="57" spans="1:256" s="311" customFormat="1" ht="15" customHeight="1">
      <c r="C57" s="412"/>
      <c r="D57" s="412"/>
      <c r="E57" s="412"/>
      <c r="F57" s="412"/>
      <c r="G57" s="412"/>
      <c r="H57" s="412"/>
      <c r="I57" s="412"/>
      <c r="J57" s="412" t="s">
        <v>136</v>
      </c>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Tirol: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117</v>
      </c>
      <c r="F60" s="93">
        <f ca="1">_xll.PALO.DATAC("jedoxtest/EU_PM_CUBE02","EUPM_Mittel2_Cube",$C$65,"Alle Beteiligungen","Alle Koordinatoren","Alle Unternehmensgrößen","-2",$C60,28,"Alle Expertevaluierungsstatus","-2","-2",BL_FactSheet_Bundesland,"-2","Alle","-2","anzahl_beteiligungen")/$C$38*100</f>
        <v>55.188679245283026</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77</v>
      </c>
      <c r="F61" s="93">
        <f ca="1">_xll.PALO.DATAC("jedoxtest/EU_PM_CUBE02","EUPM_Mittel2_Cube",$C$65,"Alle Beteiligungen","Alle Koordinatoren","Alle Unternehmensgrößen","-2",$C61,28,"Alle Expertevaluierungsstatus","-2","-2",BL_FactSheet_Bundesland,"-2","Alle","-2","anzahl_beteiligungen")/$C$38*100</f>
        <v>36.320754716981128</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6</v>
      </c>
      <c r="F62" s="93">
        <f ca="1">_xll.PALO.DATAC("jedoxtest/EU_PM_CUBE02","EUPM_Mittel2_Cube",$C$65,"Alle Beteiligungen","Alle Koordinatoren","Alle Unternehmensgrößen","-2",$C62,28,"Alle Expertevaluierungsstatus","-2","-2",BL_FactSheet_Bundesland,"-2","Alle","-2","anzahl_beteiligungen")/$C$38*100</f>
        <v>2.8301886792452833</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3</v>
      </c>
      <c r="F63" s="93">
        <f ca="1">_xll.PALO.DATAC("jedoxtest/EU_PM_CUBE02","EUPM_Mittel2_Cube",$C$65,"Alle Beteiligungen","Alle Koordinatoren","Alle Unternehmensgrößen","-2",$C63,28,"Alle Expertevaluierungsstatus","-2","-2",BL_FactSheet_Bundesland,"-2","Alle","-2","anzahl_beteiligungen")/$C$38*100</f>
        <v>1.4150943396226416</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9</v>
      </c>
      <c r="F64" s="93">
        <f ca="1">_xll.PALO.DATAC("jedoxtest/EU_PM_CUBE02","EUPM_Mittel2_Cube",$C$65,"Alle Beteiligungen","Alle Koordinatoren","Alle Unternehmensgrößen","-2",$C64,28,"Alle Expertevaluierungsstatus","-2","-2",BL_FactSheet_Bundesland,"-2","Alle","-2","anzahl_beteiligungen")/$C$38*100</f>
        <v>4.2452830188679247</v>
      </c>
      <c r="G64" s="90"/>
      <c r="H64" s="90"/>
      <c r="I64" s="90"/>
      <c r="J64" s="90"/>
    </row>
    <row r="65" spans="3:10">
      <c r="C65" s="413" t="str">
        <f ca="1">_xll.PALO.ENAME("jedoxtest/EU_PM_CUBE02","Datenstand",3)</f>
        <v>117</v>
      </c>
      <c r="D65" s="91">
        <v>40</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J5"/>
    <mergeCell ref="C44:E44"/>
    <mergeCell ref="C55:J55"/>
    <mergeCell ref="C56:J56"/>
    <mergeCell ref="C59:E59"/>
    <mergeCell ref="C36:E36"/>
    <mergeCell ref="C40:E40"/>
  </mergeCells>
  <conditionalFormatting sqref="C36">
    <cfRule type="expression" dxfId="26" priority="1">
      <formula>$D36=2</formula>
    </cfRule>
  </conditionalFormatting>
  <conditionalFormatting sqref="C38:C40">
    <cfRule type="expression" dxfId="25" priority="5">
      <formula>$D38=2</formula>
    </cfRule>
  </conditionalFormatting>
  <conditionalFormatting sqref="C42:E42">
    <cfRule type="expression" dxfId="24" priority="2">
      <formula>$D42=2</formula>
    </cfRule>
  </conditionalFormatting>
  <conditionalFormatting sqref="D38:E39">
    <cfRule type="expression" dxfId="23" priority="3">
      <formula>$D38=2</formula>
    </cfRule>
  </conditionalFormatting>
  <conditionalFormatting sqref="F10:F12 F14:F19 F21:F23 F25:F26 F28:F31">
    <cfRule type="expression" dxfId="22" priority="97">
      <formula>$B9=2</formula>
    </cfRule>
  </conditionalFormatting>
  <conditionalFormatting sqref="F10:F31">
    <cfRule type="expression" dxfId="21" priority="6">
      <formula>$B10=2</formula>
    </cfRule>
  </conditionalFormatting>
  <conditionalFormatting sqref="F13 F20 F24">
    <cfRule type="expression" dxfId="20" priority="100">
      <formula>#REF!=2</formula>
    </cfRule>
  </conditionalFormatting>
  <conditionalFormatting sqref="F27">
    <cfRule type="expression" dxfId="19" priority="103">
      <formula>#REF!=2</formula>
    </cfRule>
  </conditionalFormatting>
  <conditionalFormatting sqref="H10:J31">
    <cfRule type="expression" dxfId="18"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0">
    <tabColor rgb="FF92D050"/>
    <pageSetUpPr fitToPage="1"/>
  </sheetPr>
  <dimension ref="A1:IV85"/>
  <sheetViews>
    <sheetView zoomScaleNormal="100" workbookViewId="0"/>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"&amp;_xll.PALO.DATA("jedoxtest/EU_PM_CUBE02","#_Datenstand","frameworkprog_long",$C$65)</f>
        <v>Vorarlberg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0</v>
      </c>
      <c r="E10" s="86">
        <f t="shared" ref="E10:E28" ca="1" si="0">IF(I10=0,0,ABS(H10-I10))</f>
        <v>0</v>
      </c>
      <c r="F10" s="86">
        <f ca="1">J10-H10-E10</f>
        <v>1</v>
      </c>
      <c r="G10" s="80"/>
      <c r="H10" s="86">
        <f ca="1">_xll.PALO.DATAC("jedoxtest/EU_PM_CUBE02","EUPM_Mittel2_Cube",$C$65,"Alle Beteiligungen","Alle Koordinatoren","Alle Unternehmensgrößen","-2","Alle Organisationstypen",28,"Alle Expertevaluierungsstatus",$B10,"-2",BL_FactSheet_Bundesland,"-2","Alle","-2","anzahl_beteiligungen")</f>
        <v>0</v>
      </c>
      <c r="I10" s="87">
        <f ca="1">_xll.PALO.DATAC("jedoxtest/EU_PM_CUBE02","EUPM_Mittel2_Cube",$C$65,"Alle Beteiligungen","Alle Koordinatoren","Alle Unternehmensgrößen","-2","Alle Organisationstypen",28,"Alle Expertevaluierungsstatus",$B10,"-2",BL_FactSheet_Bundesland,"-2","Alle","-2","anzahl_beteiligungen")</f>
        <v>0</v>
      </c>
      <c r="J10" s="86">
        <f ca="1">_xll.PALO.DATAC("jedoxtest/EU_PM_CUBE02","EUPM_Mittel2_Cube",$C$65,"Alle Beteiligungen","Alle Koordinatoren","Alle Unternehmensgrößen","-2","Alle Organisationstypen",5,"Alle Expertevaluierungsstatus",$B10,"-2",BL_FactSheet_Bundesland,"-2","Alle","-2","anzahl_beteiligungen")</f>
        <v>1</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1</v>
      </c>
      <c r="E11" s="86">
        <f t="shared" ca="1" si="0"/>
        <v>0</v>
      </c>
      <c r="F11" s="86">
        <f t="shared" ref="F11:F28" ca="1" si="2">J11-H11-E11</f>
        <v>17</v>
      </c>
      <c r="G11" s="80"/>
      <c r="H11" s="86">
        <f ca="1">_xll.PALO.DATAC("jedoxtest/EU_PM_CUBE02","EUPM_Mittel2_Cube",$C$65,"Alle Beteiligungen","Alle Koordinatoren","Alle Unternehmensgrößen","-2","Alle Organisationstypen",28,"Alle Expertevaluierungsstatus",$B11,"-2",BL_FactSheet_Bundesland,"-2","Alle","-2","anzahl_beteiligungen")</f>
        <v>1</v>
      </c>
      <c r="I11" s="87">
        <f ca="1">_xll.PALO.DATAC("jedoxtest/EU_PM_CUBE02","EUPM_Mittel2_Cube",$C$65,"Alle Beteiligungen","Alle Koordinatoren","Alle Unternehmensgrößen","-2","Alle Organisationstypen",28,"Alle Expertevaluierungsstatus",$B11,"-2",BL_FactSheet_Bundesland,"-2","Alle","-2","anzahl_beteiligungen")</f>
        <v>1</v>
      </c>
      <c r="J11" s="86">
        <f ca="1">_xll.PALO.DATAC("jedoxtest/EU_PM_CUBE02","EUPM_Mittel2_Cube",$C$65,"Alle Beteiligungen","Alle Koordinatoren","Alle Unternehmensgrößen","-2","Alle Organisationstypen",5,"Alle Expertevaluierungsstatus",$B11,"-2",BL_FactSheet_Bundesland,"-2","Alle","-2","anzahl_beteiligungen")</f>
        <v>18</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0</v>
      </c>
      <c r="E12" s="86">
        <f t="shared" ca="1" si="0"/>
        <v>0</v>
      </c>
      <c r="F12" s="86">
        <f t="shared" ca="1" si="2"/>
        <v>1</v>
      </c>
      <c r="G12" s="80"/>
      <c r="H12" s="86">
        <f ca="1">_xll.PALO.DATAC("jedoxtest/EU_PM_CUBE02","EUPM_Mittel2_Cube",$C$65,"Alle Beteiligungen","Alle Koordinatoren","Alle Unternehmensgrößen","-2","Alle Organisationstypen",28,"Alle Expertevaluierungsstatus",$B12,"-2",BL_FactSheet_Bundesland,"-2","Alle","-2","anzahl_beteiligungen")</f>
        <v>0</v>
      </c>
      <c r="I12" s="87">
        <f ca="1">_xll.PALO.DATAC("jedoxtest/EU_PM_CUBE02","EUPM_Mittel2_Cube",$C$65,"Alle Beteiligungen","Alle Koordinatoren","Alle Unternehmensgrößen","-2","Alle Organisationstypen",28,"Alle Expertevaluierungsstatus",$B12,"-2",BL_FactSheet_Bundesland,"-2","Alle","-2","anzahl_beteiligungen")</f>
        <v>0</v>
      </c>
      <c r="J12" s="86">
        <f ca="1">_xll.PALO.DATAC("jedoxtest/EU_PM_CUBE02","EUPM_Mittel2_Cube",$C$65,"Alle Beteiligungen","Alle Koordinatoren","Alle Unternehmensgrößen","-2","Alle Organisationstypen",5,"Alle Expertevaluierungsstatus",$B12,"-2",BL_FactSheet_Bundesland,"-2","Alle","-2","anzahl_beteiligungen")</f>
        <v>1</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_xll.PALO.DATAC("jedoxtest/EU_PM_CUBE02","EUPM_Mittel2_Cube",$C$65,"Alle Beteiligungen","Alle Koordinatoren","Alle Unternehmensgrößen","-2","Alle Organisationstypen",28,"Alle Expertevaluierungsstatus",$B13,"-2",BL_FactSheet_Bundesland,"-2","Alle","-2","anzahl_beteiligungen")</f>
        <v/>
      </c>
      <c r="J13" s="86" t="str">
        <f ca="1">_xll.PALO.DATAC("jedoxtest/EU_PM_CUBE02","EUPM_Mittel2_Cube",$C$65,"Alle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0</v>
      </c>
      <c r="E14" s="86">
        <f t="shared" ca="1" si="0"/>
        <v>0</v>
      </c>
      <c r="F14" s="86">
        <f t="shared" ca="1" si="2"/>
        <v>2</v>
      </c>
      <c r="G14" s="80"/>
      <c r="H14" s="86">
        <f ca="1">_xll.PALO.DATAC("jedoxtest/EU_PM_CUBE02","EUPM_Mittel2_Cube",$C$65,"Alle Beteiligungen","Alle Koordinatoren","Alle Unternehmensgrößen","-2","Alle Organisationstypen",28,"Alle Expertevaluierungsstatus",$B14,"-2",BL_FactSheet_Bundesland,"-2","Alle","-2","anzahl_beteiligungen")</f>
        <v>0</v>
      </c>
      <c r="I14" s="87">
        <f ca="1">_xll.PALO.DATAC("jedoxtest/EU_PM_CUBE02","EUPM_Mittel2_Cube",$C$65,"Alle Beteiligungen","Alle Koordinatoren","Alle Unternehmensgrößen","-2","Alle Organisationstypen",28,"Alle Expertevaluierungsstatus",$B14,"-2",BL_FactSheet_Bundesland,"-2","Alle","-2","anzahl_beteiligungen")</f>
        <v>0</v>
      </c>
      <c r="J14" s="86">
        <f ca="1">_xll.PALO.DATAC("jedoxtest/EU_PM_CUBE02","EUPM_Mittel2_Cube",$C$65,"Alle Beteiligungen","Alle Koordinatoren","Alle Unternehmensgrößen","-2","Alle Organisationstypen",5,"Alle Expertevaluierungsstatus",$B14,"-2",BL_FactSheet_Bundesland,"-2","Alle","-2","anzahl_beteiligungen")</f>
        <v>2</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v>
      </c>
      <c r="E15" s="86">
        <f t="shared" ca="1" si="0"/>
        <v>0</v>
      </c>
      <c r="F15" s="86">
        <f t="shared" ca="1" si="2"/>
        <v>7</v>
      </c>
      <c r="G15" s="80"/>
      <c r="H15" s="86">
        <f ca="1">_xll.PALO.DATAC("jedoxtest/EU_PM_CUBE02","EUPM_Mittel2_Cube",$C$65,"Alle Beteiligungen","Alle Koordinatoren","Alle Unternehmensgrößen","-2","Alle Organisationstypen",28,"Alle Expertevaluierungsstatus",$B15,"-2",BL_FactSheet_Bundesland,"-2","Alle","-2","anzahl_beteiligungen")</f>
        <v>1</v>
      </c>
      <c r="I15" s="87">
        <f ca="1">_xll.PALO.DATAC("jedoxtest/EU_PM_CUBE02","EUPM_Mittel2_Cube",$C$65,"Alle Beteiligungen","Alle Koordinatoren","Alle Unternehmensgrößen","-2","Alle Organisationstypen",28,"Alle Expertevaluierungsstatus",$B15,"-2",BL_FactSheet_Bundesland,"-2","Alle","-2","anzahl_beteiligungen")</f>
        <v>1</v>
      </c>
      <c r="J15" s="86">
        <f ca="1">_xll.PALO.DATAC("jedoxtest/EU_PM_CUBE02","EUPM_Mittel2_Cube",$C$65,"Alle Beteiligungen","Alle Koordinatoren","Alle Unternehmensgrößen","-2","Alle Organisationstypen",5,"Alle Expertevaluierungsstatus",$B15,"-2",BL_FactSheet_Bundesland,"-2","Alle","-2","anzahl_beteiligungen")</f>
        <v>8</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0</v>
      </c>
      <c r="E16" s="86">
        <f t="shared" ca="1" si="0"/>
        <v>0</v>
      </c>
      <c r="F16" s="86">
        <f t="shared" ca="1" si="2"/>
        <v>12</v>
      </c>
      <c r="G16" s="80"/>
      <c r="H16" s="86">
        <f ca="1">_xll.PALO.DATAC("jedoxtest/EU_PM_CUBE02","EUPM_Mittel2_Cube",$C$65,"Alle Beteiligungen","Alle Koordinatoren","Alle Unternehmensgrößen","-2","Alle Organisationstypen",28,"Alle Expertevaluierungsstatus",$B16,"-2",BL_FactSheet_Bundesland,"-2","Alle","-2","anzahl_beteiligungen")</f>
        <v>0</v>
      </c>
      <c r="I16" s="87">
        <f ca="1">_xll.PALO.DATAC("jedoxtest/EU_PM_CUBE02","EUPM_Mittel2_Cube",$C$65,"Alle Beteiligungen","Alle Koordinatoren","Alle Unternehmensgrößen","-2","Alle Organisationstypen",28,"Alle Expertevaluierungsstatus",$B16,"-2",BL_FactSheet_Bundesland,"-2","Alle","-2","anzahl_beteiligungen")</f>
        <v>0</v>
      </c>
      <c r="J16" s="86">
        <f ca="1">_xll.PALO.DATAC("jedoxtest/EU_PM_CUBE02","EUPM_Mittel2_Cube",$C$65,"Alle Beteiligungen","Alle Koordinatoren","Alle Unternehmensgrößen","-2","Alle Organisationstypen",5,"Alle Expertevaluierungsstatus",$B16,"-2",BL_FactSheet_Bundesland,"-2","Alle","-2","anzahl_beteiligungen")</f>
        <v>12</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4</v>
      </c>
      <c r="E17" s="86">
        <f t="shared" ca="1" si="0"/>
        <v>0</v>
      </c>
      <c r="F17" s="86">
        <f t="shared" ca="1" si="2"/>
        <v>31</v>
      </c>
      <c r="G17" s="80"/>
      <c r="H17" s="86">
        <f ca="1">_xll.PALO.DATAC("jedoxtest/EU_PM_CUBE02","EUPM_Mittel2_Cube",$C$65,"Alle Beteiligungen","Alle Koordinatoren","Alle Unternehmensgrößen","-2","Alle Organisationstypen",28,"Alle Expertevaluierungsstatus",$B17,"-2",BL_FactSheet_Bundesland,"-2","Alle","-2","anzahl_beteiligungen")</f>
        <v>4</v>
      </c>
      <c r="I17" s="87">
        <f ca="1">_xll.PALO.DATAC("jedoxtest/EU_PM_CUBE02","EUPM_Mittel2_Cube",$C$65,"Alle Beteiligungen","Alle Koordinatoren","Alle Unternehmensgrößen","-2","Alle Organisationstypen",28,"Alle Expertevaluierungsstatus",$B17,"-2",BL_FactSheet_Bundesland,"-2","Alle","-2","anzahl_beteiligungen")</f>
        <v>4</v>
      </c>
      <c r="J17" s="86">
        <f ca="1">_xll.PALO.DATAC("jedoxtest/EU_PM_CUBE02","EUPM_Mittel2_Cube",$C$65,"Alle Beteiligungen","Alle Koordinatoren","Alle Unternehmensgrößen","-2","Alle Organisationstypen",5,"Alle Expertevaluierungsstatus",$B17,"-2",BL_FactSheet_Bundesland,"-2","Alle","-2","anzahl_beteiligungen")</f>
        <v>35</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5</v>
      </c>
      <c r="E18" s="86">
        <f t="shared" ca="1" si="0"/>
        <v>0</v>
      </c>
      <c r="F18" s="86">
        <f t="shared" ca="1" si="2"/>
        <v>33</v>
      </c>
      <c r="G18" s="80"/>
      <c r="H18" s="86">
        <f ca="1">_xll.PALO.DATAC("jedoxtest/EU_PM_CUBE02","EUPM_Mittel2_Cube",$C$65,"Alle Beteiligungen","Alle Koordinatoren","Alle Unternehmensgrößen","-2","Alle Organisationstypen",28,"Alle Expertevaluierungsstatus",$B18,"-2",BL_FactSheet_Bundesland,"-2","Alle","-2","anzahl_beteiligungen")</f>
        <v>5</v>
      </c>
      <c r="I18" s="87">
        <f ca="1">_xll.PALO.DATAC("jedoxtest/EU_PM_CUBE02","EUPM_Mittel2_Cube",$C$65,"Alle Beteiligungen","Alle Koordinatoren","Alle Unternehmensgrößen","-2","Alle Organisationstypen",28,"Alle Expertevaluierungsstatus",$B18,"-2",BL_FactSheet_Bundesland,"-2","Alle","-2","anzahl_beteiligungen")</f>
        <v>5</v>
      </c>
      <c r="J18" s="86">
        <f ca="1">_xll.PALO.DATAC("jedoxtest/EU_PM_CUBE02","EUPM_Mittel2_Cube",$C$65,"Alle Beteiligungen","Alle Koordinatoren","Alle Unternehmensgrößen","-2","Alle Organisationstypen",5,"Alle Expertevaluierungsstatus",$B18,"-2",BL_FactSheet_Bundesland,"-2","Alle","-2","anzahl_beteiligungen")</f>
        <v>38</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2</v>
      </c>
      <c r="E19" s="86">
        <f t="shared" ca="1" si="0"/>
        <v>0</v>
      </c>
      <c r="F19" s="86">
        <f t="shared" ca="1" si="2"/>
        <v>5</v>
      </c>
      <c r="G19" s="80"/>
      <c r="H19" s="86">
        <f ca="1">_xll.PALO.DATAC("jedoxtest/EU_PM_CUBE02","EUPM_Mittel2_Cube",$C$65,"Alle Beteiligungen","Alle Koordinatoren","Alle Unternehmensgrößen","-2","Alle Organisationstypen",28,"Alle Expertevaluierungsstatus",$B19,"-2",BL_FactSheet_Bundesland,"-2","Alle","-2","anzahl_beteiligungen")</f>
        <v>2</v>
      </c>
      <c r="I19" s="87">
        <f ca="1">_xll.PALO.DATAC("jedoxtest/EU_PM_CUBE02","EUPM_Mittel2_Cube",$C$65,"Alle Beteiligungen","Alle Koordinatoren","Alle Unternehmensgrößen","-2","Alle Organisationstypen",28,"Alle Expertevaluierungsstatus",$B19,"-2",BL_FactSheet_Bundesland,"-2","Alle","-2","anzahl_beteiligungen")</f>
        <v>2</v>
      </c>
      <c r="J19" s="86">
        <f ca="1">_xll.PALO.DATAC("jedoxtest/EU_PM_CUBE02","EUPM_Mittel2_Cube",$C$65,"Alle Beteiligungen","Alle Koordinatoren","Alle Unternehmensgrößen","-2","Alle Organisationstypen",5,"Alle Expertevaluierungsstatus",$B19,"-2",BL_FactSheet_Bundesland,"-2","Alle","-2","anzahl_beteiligungen")</f>
        <v>7</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_xll.PALO.DATAC("jedoxtest/EU_PM_CUBE02","EUPM_Mittel2_Cube",$C$65,"Alle Beteiligungen","Alle Koordinatoren","Alle Unternehmensgrößen","-2","Alle Organisationstypen",28,"Alle Expertevaluierungsstatus",$B20,"-2",BL_FactSheet_Bundesland,"-2","Alle","-2","anzahl_beteiligungen")</f>
        <v/>
      </c>
      <c r="J20" s="86" t="str">
        <f ca="1">_xll.PALO.DATAC("jedoxtest/EU_PM_CUBE02","EUPM_Mittel2_Cube",$C$65,"Alle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0</v>
      </c>
      <c r="E21" s="86">
        <f t="shared" ca="1" si="0"/>
        <v>0</v>
      </c>
      <c r="F21" s="86">
        <f t="shared" ca="1" si="2"/>
        <v>9</v>
      </c>
      <c r="G21" s="80"/>
      <c r="H21" s="86">
        <f ca="1">_xll.PALO.DATAC("jedoxtest/EU_PM_CUBE02","EUPM_Mittel2_Cube",$C$65,"Alle Beteiligungen","Alle Koordinatoren","Alle Unternehmensgrößen","-2","Alle Organisationstypen",28,"Alle Expertevaluierungsstatus",$B21,"-2",BL_FactSheet_Bundesland,"-2","Alle","-2","anzahl_beteiligungen")</f>
        <v>0</v>
      </c>
      <c r="I21" s="87">
        <f ca="1">_xll.PALO.DATAC("jedoxtest/EU_PM_CUBE02","EUPM_Mittel2_Cube",$C$65,"Alle Beteiligungen","Alle Koordinatoren","Alle Unternehmensgrößen","-2","Alle Organisationstypen",28,"Alle Expertevaluierungsstatus",$B21,"-2",BL_FactSheet_Bundesland,"-2","Alle","-2","anzahl_beteiligungen")</f>
        <v>0</v>
      </c>
      <c r="J21" s="86">
        <f ca="1">_xll.PALO.DATAC("jedoxtest/EU_PM_CUBE02","EUPM_Mittel2_Cube",$C$65,"Alle Beteiligungen","Alle Koordinatoren","Alle Unternehmensgrößen","-2","Alle Organisationstypen",5,"Alle Expertevaluierungsstatus",$B21,"-2",BL_FactSheet_Bundesland,"-2","Alle","-2","anzahl_beteiligungen")</f>
        <v>9</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0</v>
      </c>
      <c r="E22" s="86">
        <f t="shared" ca="1" si="0"/>
        <v>0</v>
      </c>
      <c r="F22" s="86">
        <f t="shared" ca="1" si="2"/>
        <v>2</v>
      </c>
      <c r="G22" s="80"/>
      <c r="H22" s="86">
        <f ca="1">_xll.PALO.DATAC("jedoxtest/EU_PM_CUBE02","EUPM_Mittel2_Cube",$C$65,"Alle Beteiligungen","Alle Koordinatoren","Alle Unternehmensgrößen","-2","Alle Organisationstypen",28,"Alle Expertevaluierungsstatus",$B22,"-2",BL_FactSheet_Bundesland,"-2","Alle","-2","anzahl_beteiligungen")</f>
        <v>0</v>
      </c>
      <c r="I22" s="87">
        <f ca="1">_xll.PALO.DATAC("jedoxtest/EU_PM_CUBE02","EUPM_Mittel2_Cube",$C$65,"Alle Beteiligungen","Alle Koordinatoren","Alle Unternehmensgrößen","-2","Alle Organisationstypen",28,"Alle Expertevaluierungsstatus",$B22,"-2",BL_FactSheet_Bundesland,"-2","Alle","-2","anzahl_beteiligungen")</f>
        <v>0</v>
      </c>
      <c r="J22" s="86">
        <f ca="1">_xll.PALO.DATAC("jedoxtest/EU_PM_CUBE02","EUPM_Mittel2_Cube",$C$65,"Alle Beteiligungen","Alle Koordinatoren","Alle Unternehmensgrößen","-2","Alle Organisationstypen",5,"Alle Expertevaluierungsstatus",$B22,"-2",BL_FactSheet_Bundesland,"-2","Alle","-2","anzahl_beteiligungen")</f>
        <v>2</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0</v>
      </c>
      <c r="E23" s="86">
        <f t="shared" ca="1" si="0"/>
        <v>0</v>
      </c>
      <c r="F23" s="86">
        <f t="shared" ca="1" si="2"/>
        <v>0</v>
      </c>
      <c r="G23" s="80"/>
      <c r="H23" s="86">
        <f ca="1">_xll.PALO.DATAC("jedoxtest/EU_PM_CUBE02","EUPM_Mittel2_Cube",$C$65,"Alle Beteiligungen","Alle Koordinatoren","Alle Unternehmensgrößen","-2","Alle Organisationstypen",28,"Alle Expertevaluierungsstatus",$B23,"-2",BL_FactSheet_Bundesland,"-2","Alle","-2","anzahl_beteiligungen")</f>
        <v>0</v>
      </c>
      <c r="I23" s="87">
        <f ca="1">_xll.PALO.DATAC("jedoxtest/EU_PM_CUBE02","EUPM_Mittel2_Cube",$C$65,"Alle Beteiligungen","Alle Koordinatoren","Alle Unternehmensgrößen","-2","Alle Organisationstypen",28,"Alle Expertevaluierungsstatus",$B23,"-2",BL_FactSheet_Bundesland,"-2","Alle","-2","anzahl_beteiligungen")</f>
        <v>0</v>
      </c>
      <c r="J23" s="86">
        <f ca="1">_xll.PALO.DATAC("jedoxtest/EU_PM_CUBE02","EUPM_Mittel2_Cube",$C$65,"Alle Beteiligungen","Alle Koordinatoren","Alle Unternehmensgrößen","-2","Alle Organisationstypen",5,"Alle Expertevaluierungsstatus",$B23,"-2",BL_FactSheet_Bundesland,"-2","Alle","-2","anzahl_beteiligungen")</f>
        <v>0</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_xll.PALO.DATAC("jedoxtest/EU_PM_CUBE02","EUPM_Mittel2_Cube",$C$65,"Alle Beteiligungen","Alle Koordinatoren","Alle Unternehmensgrößen","-2","Alle Organisationstypen",28,"Alle Expertevaluierungsstatus",$B24,"-2",BL_FactSheet_Bundesland,"-2","Alle","-2","anzahl_beteiligungen")</f>
        <v/>
      </c>
      <c r="J24" s="86" t="str">
        <f ca="1">_xll.PALO.DATAC("jedoxtest/EU_PM_CUBE02","EUPM_Mittel2_Cube",$C$65,"Alle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0</v>
      </c>
      <c r="E25" s="86">
        <f t="shared" ca="1" si="0"/>
        <v>0</v>
      </c>
      <c r="F25" s="86">
        <f t="shared" ca="1" si="2"/>
        <v>1</v>
      </c>
      <c r="G25" s="80"/>
      <c r="H25" s="86">
        <f ca="1">_xll.PALO.DATAC("jedoxtest/EU_PM_CUBE02","EUPM_Mittel2_Cube",$C$65,"Alle Beteiligungen","Alle Koordinatoren","Alle Unternehmensgrößen","-2","Alle Organisationstypen",28,"Alle Expertevaluierungsstatus",$B25,"-2",BL_FactSheet_Bundesland,"-2","Alle","-2","anzahl_beteiligungen")</f>
        <v>0</v>
      </c>
      <c r="I25" s="87">
        <f ca="1">_xll.PALO.DATAC("jedoxtest/EU_PM_CUBE02","EUPM_Mittel2_Cube",$C$65,"Alle Beteiligungen","Alle Koordinatoren","Alle Unternehmensgrößen","-2","Alle Organisationstypen",28,"Alle Expertevaluierungsstatus",$B25,"-2",BL_FactSheet_Bundesland,"-2","Alle","-2","anzahl_beteiligungen")</f>
        <v>0</v>
      </c>
      <c r="J25" s="86">
        <f ca="1">_xll.PALO.DATAC("jedoxtest/EU_PM_CUBE02","EUPM_Mittel2_Cube",$C$65,"Alle Beteiligungen","Alle Koordinatoren","Alle Unternehmensgrößen","-2","Alle Organisationstypen",5,"Alle Expertevaluierungsstatus",$B25,"-2",BL_FactSheet_Bundesland,"-2","Alle","-2","anzahl_beteiligungen")</f>
        <v>1</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0</v>
      </c>
      <c r="E26" s="86">
        <f t="shared" ca="1" si="0"/>
        <v>0</v>
      </c>
      <c r="F26" s="86">
        <f t="shared" ca="1" si="2"/>
        <v>1</v>
      </c>
      <c r="G26" s="80"/>
      <c r="H26" s="86">
        <f ca="1">_xll.PALO.DATAC("jedoxtest/EU_PM_CUBE02","EUPM_Mittel2_Cube",$C$65,"Alle Beteiligungen","Alle Koordinatoren","Alle Unternehmensgrößen","-2","Alle Organisationstypen",28,"Alle Expertevaluierungsstatus",$B26,"-2",BL_FactSheet_Bundesland,"-2","Alle","-2","anzahl_beteiligungen")</f>
        <v>0</v>
      </c>
      <c r="I26" s="87">
        <f ca="1">_xll.PALO.DATAC("jedoxtest/EU_PM_CUBE02","EUPM_Mittel2_Cube",$C$65,"Alle Beteiligungen","Alle Koordinatoren","Alle Unternehmensgrößen","-2","Alle Organisationstypen",28,"Alle Expertevaluierungsstatus",$B26,"-2",BL_FactSheet_Bundesland,"-2","Alle","-2","anzahl_beteiligungen")</f>
        <v>0</v>
      </c>
      <c r="J26" s="86">
        <f ca="1">_xll.PALO.DATAC("jedoxtest/EU_PM_CUBE02","EUPM_Mittel2_Cube",$C$65,"Alle Beteiligungen","Alle Koordinatoren","Alle Unternehmensgrößen","-2","Alle Organisationstypen",5,"Alle Expertevaluierungsstatus",$B26,"-2",BL_FactSheet_Bundesland,"-2","Alle","-2","anzahl_beteiligungen")</f>
        <v>1</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_xll.PALO.DATAC("jedoxtest/EU_PM_CUBE02","EUPM_Mittel2_Cube",$C$65,"Alle Beteiligungen","Alle Koordinatoren","Alle Unternehmensgrößen","-2","Alle Organisationstypen",28,"Alle Expertevaluierungsstatus",$B28,"-2",BL_FactSheet_Bundesland,"-2","Alle","-2","anzahl_beteiligungen")</f>
        <v>0</v>
      </c>
      <c r="I28" s="87">
        <f ca="1">_xll.PALO.DATAC("jedoxtest/EU_PM_CUBE02","EUPM_Mittel2_Cube",$C$65,"Alle Beteiligungen","Alle Koordinatoren","Alle Unternehmensgrößen","-2","Alle Organisationstypen",28,"Alle Expertevaluierungsstatus",$B28,"-2",BL_FactSheet_Bundesland,"-2","Alle","-2","anzahl_beteiligungen")</f>
        <v>0</v>
      </c>
      <c r="J28" s="86">
        <f ca="1">_xll.PALO.DATAC("jedoxtest/EU_PM_CUBE02","EUPM_Mittel2_Cube",$C$65,"Alle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s="72" customFormat="1" ht="15" customHeight="1">
      <c r="A35" s="80"/>
      <c r="B35" s="80"/>
      <c r="C35" s="748" t="str">
        <f ca="1">"Eckdaten für "&amp;_xll.PALO.DATA("jedoxtest/EU_PM_CUBE02","#_Staatengruppen_und_NUTS","Langbezeichnung",BL_FactSheet_Bundesland)</f>
        <v>Eckdaten für Vorarlberg</v>
      </c>
      <c r="D35" s="748"/>
      <c r="E35" s="748"/>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row>
    <row r="36" spans="1:256" ht="15" customHeight="1">
      <c r="C36" s="98" t="s">
        <v>1</v>
      </c>
      <c r="D36" s="99" t="s">
        <v>46</v>
      </c>
      <c r="E36" s="100" t="s">
        <v>3</v>
      </c>
    </row>
    <row r="37" spans="1:256" s="72" customFormat="1" ht="15" customHeight="1">
      <c r="A37" s="80"/>
      <c r="B37" s="80"/>
      <c r="C37" s="101">
        <f ca="1">_xll.PALO.DATAC("jedoxtest/EU_PM_CUBE02","EUPM_Mittel2_Cube",$C$65,"Alle Beteiligungen","Alle Koordinatoren","Alle Unternehmensgrößen","-2","Alle Organisationstypen",28,"Alle Expertevaluierungsstatus","-2","-2",BL_FactSheet_Bundesland,"-2","Alle","-2","anzahl_beteiligungen")</f>
        <v>13</v>
      </c>
      <c r="D37" s="101" t="str">
        <f ca="1">TEXT(_xll.PALO.DATAC("jedoxtest/EU_PM_CUBE02","EUPM_Mittel2_Cube",$C$65,"Alle Beteiligungen","Alle Koordinatoren","Alle Unternehmensgrößen","-2","Alle Organisationstypen",28,"Alle Expertevaluierungsstatus","-2","-2",BL_FactSheet_Bundesland,"-2","Alle","-2","foerderung"),"#.##0,0..")&amp;" Mio. €"</f>
        <v>2,4 Mio. €</v>
      </c>
      <c r="E37" s="101">
        <f ca="1">_xll.PALO.DATAC("jedoxtest/EU_PM_CUBE02","EUPM_Mittel2_Cube",$C$65,"Alle Beteiligungen","Alle Koordinatoren","Alle Unternehmensgrößen","-2","Alle Organisationstypen",28,"Alle Expertevaluierungsstatus","-2","-2",BL_FactSheet_Bundesland,"-2","Alle","-2","anzahl_koordinatoren")</f>
        <v>1</v>
      </c>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spans="1:256" s="72" customFormat="1" ht="3.75" customHeight="1">
      <c r="A38" s="80"/>
      <c r="B38" s="80"/>
      <c r="C38" s="101"/>
      <c r="D38" s="101"/>
      <c r="E38" s="101"/>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15" customHeight="1">
      <c r="A39" s="80"/>
      <c r="B39" s="80"/>
      <c r="C39" s="748" t="s">
        <v>293</v>
      </c>
      <c r="D39" s="748"/>
      <c r="E39" s="748"/>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98" t="s">
        <v>1</v>
      </c>
      <c r="D40" s="99" t="s">
        <v>46</v>
      </c>
      <c r="E40" s="100" t="s">
        <v>3</v>
      </c>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583">
        <f ca="1">_xll.PALO.DATAC("jedoxtest/EU_PM_CUBE02","EUPM_Mittel2_Cube",$C$65,"Alle Beteiligungen","Alle Koordinatoren","Alle Unternehmensgrößen","-2","Alle Organisationstypen",28,"Alle Expertevaluierungsstatus","-2","-2",BL_FactSheet_Bundesland,"-2","Alle","-2","anzahl_beteiligungen")/_xll.PALO.DATAC("jedoxtest/EU_PM_CUBE02","EUPM_Mittel2_Cube",$C$65,"Alle Beteiligungen","Alle Koordinatoren","Alle Unternehmensgrößen","-2","Alle Organisationstypen",28,"Alle Expertevaluierungsstatus","-2","-2",1,"-2","Alle","-2","anzahl_beteiligungen")</f>
        <v>3.3171727481500382E-3</v>
      </c>
      <c r="D41" s="583">
        <f ca="1">_xll.PALO.DATAC("jedoxtest/EU_PM_CUBE02","EUPM_Mittel2_Cube",$C$65,"Alle Beteiligungen","Alle Koordinatoren","Alle Unternehmensgrößen","-2","Alle Organisationstypen",28,"Alle Expertevaluierungsstatus","-2","-2",BL_FactSheet_Bundesland,"-2","Alle","-2","foerderung")/_xll.PALO.DATAC("jedoxtest/EU_PM_CUBE02","EUPM_Mittel2_Cube",$C$65,"Alle Beteiligungen","Alle Koordinatoren","Alle Unternehmensgrößen","-2","Alle Organisationstypen",28,"Alle Expertevaluierungsstatus","-2","-2",1,"-2","Alle","-2","foerderung")</f>
        <v>1.3060780534360208E-3</v>
      </c>
      <c r="E41" s="583">
        <f ca="1">_xll.PALO.DATAC("jedoxtest/EU_PM_CUBE02","EUPM_Mittel2_Cube",$C$65,"Alle Beteiligungen","Alle Koordinatoren","Alle Unternehmensgrößen","-2","Alle Organisationstypen",28,"Alle Expertevaluierungsstatus","-2","-2",BL_FactSheet_Bundesland,"-2","Alle","-2","anzahl_koordinatoren")/_xll.PALO.DATAC("jedoxtest/EU_PM_CUBE02","EUPM_Mittel2_Cube",$C$65,"Alle Beteiligungen","Alle Koordinatoren","Alle Unternehmensgrößen","-2","Alle Organisationstypen",28,"Alle Expertevaluierungsstatus","-2","-2",1,"-2","Alle","-2","anzahl_koordinatoren")</f>
        <v>1.2919896640826874E-3</v>
      </c>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s="72" customFormat="1" ht="15" customHeight="1">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row>
    <row r="43" spans="1:256" ht="15" customHeight="1">
      <c r="C43" s="747" t="str">
        <f>UPPER("Top Player mit Vertrag in Horizon Europe")</f>
        <v>TOP PLAYER MIT VERTRAG IN HORIZON EUROPE</v>
      </c>
      <c r="D43" s="747"/>
      <c r="E43" s="747"/>
    </row>
    <row r="44" spans="1:256" s="72" customFormat="1">
      <c r="A44" s="80"/>
      <c r="B44" s="80"/>
      <c r="C44" s="654" t="s">
        <v>254</v>
      </c>
      <c r="D44" s="654"/>
      <c r="E44" s="654"/>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row>
    <row r="45" spans="1:256" s="72" customFormat="1" ht="15" customHeight="1">
      <c r="A45" s="80"/>
      <c r="B45" s="80"/>
      <c r="C45" s="353" t="s">
        <v>256</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255</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c r="C47" s="353" t="s">
        <v>361</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t="s">
        <v>12</v>
      </c>
      <c r="C48" s="353" t="s">
        <v>257</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s="72" customFormat="1" ht="15" customHeight="1">
      <c r="A49" s="80"/>
      <c r="B49" s="80"/>
      <c r="C49" s="353"/>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c r="HW49" s="80"/>
      <c r="HX49" s="80"/>
      <c r="HY49" s="80"/>
      <c r="HZ49" s="80"/>
      <c r="IA49" s="80"/>
      <c r="IB49" s="80"/>
      <c r="IC49" s="80"/>
      <c r="ID49" s="80"/>
      <c r="IE49" s="80"/>
      <c r="IF49" s="80"/>
      <c r="IG49" s="80"/>
      <c r="IH49" s="80"/>
      <c r="II49" s="80"/>
      <c r="IJ49" s="80"/>
      <c r="IK49" s="80"/>
      <c r="IL49" s="80"/>
      <c r="IM49" s="80"/>
      <c r="IN49" s="80"/>
      <c r="IO49" s="80"/>
      <c r="IP49" s="80"/>
      <c r="IQ49" s="80"/>
      <c r="IR49" s="80"/>
      <c r="IS49" s="80"/>
      <c r="IT49" s="80"/>
      <c r="IU49" s="80"/>
      <c r="IV49" s="80"/>
    </row>
    <row r="50" spans="1:256" ht="15" customHeight="1">
      <c r="C50" s="102" t="s">
        <v>405</v>
      </c>
      <c r="D50" s="103" t="s">
        <v>406</v>
      </c>
      <c r="E50" s="104" t="s">
        <v>407</v>
      </c>
    </row>
    <row r="51" spans="1:256" s="72" customFormat="1" ht="15" customHeight="1">
      <c r="A51" s="80"/>
      <c r="B51" s="80"/>
      <c r="C51" s="105" t="str">
        <f>TEXT(VLOOKUP($D$65,uebbneu_Factsheet_AT!$C$72:$G$81,3,FALSE),"#.##0..")&amp;" Mio. €"</f>
        <v>22.305 Mio. €</v>
      </c>
      <c r="D51" s="105" t="str">
        <f>TEXT(VLOOKUP($D$65,uebbneu_Factsheet_AT!$C$72:$G$81,4,FALSE),"#.##0..")&amp;" Mio. €"</f>
        <v>437 Mio. €</v>
      </c>
      <c r="E51" s="106">
        <f>VLOOKUP($D$65,uebbneu_Factsheet_AT!$C$72:$G$81,5,FALSE)</f>
        <v>1.9598072181125307E-2</v>
      </c>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0"/>
      <c r="GG51" s="80"/>
      <c r="GH51" s="80"/>
      <c r="GI51" s="80"/>
      <c r="GJ51" s="80"/>
      <c r="GK51" s="80"/>
      <c r="GL51" s="80"/>
      <c r="GM51" s="80"/>
      <c r="GN51" s="80"/>
      <c r="GO51" s="80"/>
      <c r="GP51" s="80"/>
      <c r="GQ51" s="80"/>
      <c r="GR51" s="80"/>
      <c r="GS51" s="80"/>
      <c r="GT51" s="80"/>
      <c r="GU51" s="80"/>
      <c r="GV51" s="80"/>
      <c r="GW51" s="80"/>
      <c r="GX51" s="80"/>
      <c r="GY51" s="80"/>
      <c r="GZ51" s="80"/>
      <c r="HA51" s="80"/>
      <c r="HB51" s="80"/>
      <c r="HC51" s="80"/>
      <c r="HD51" s="80"/>
      <c r="HE51" s="80"/>
      <c r="HF51" s="80"/>
      <c r="HG51" s="80"/>
      <c r="HH51" s="80"/>
      <c r="HI51" s="80"/>
      <c r="HJ51" s="80"/>
      <c r="HK51" s="80"/>
      <c r="HL51" s="80"/>
      <c r="HM51" s="80"/>
      <c r="HN51" s="80"/>
      <c r="HO51" s="80"/>
      <c r="HP51" s="80"/>
      <c r="HQ51" s="80"/>
      <c r="HR51" s="80"/>
      <c r="HS51" s="80"/>
      <c r="HT51" s="80"/>
      <c r="HU51" s="80"/>
      <c r="HV51" s="80"/>
      <c r="HW51" s="80"/>
      <c r="HX51" s="80"/>
      <c r="HY51" s="80"/>
      <c r="HZ51" s="80"/>
      <c r="IA51" s="80"/>
      <c r="IB51" s="80"/>
      <c r="IC51" s="80"/>
      <c r="ID51" s="80"/>
      <c r="IE51" s="80"/>
      <c r="IF51" s="80"/>
      <c r="IG51" s="80"/>
      <c r="IH51" s="80"/>
      <c r="II51" s="80"/>
      <c r="IJ51" s="80"/>
      <c r="IK51" s="80"/>
      <c r="IL51" s="80"/>
      <c r="IM51" s="80"/>
      <c r="IN51" s="80"/>
      <c r="IO51" s="80"/>
      <c r="IP51" s="80"/>
      <c r="IQ51" s="80"/>
      <c r="IR51" s="80"/>
      <c r="IS51" s="80"/>
      <c r="IT51" s="80"/>
      <c r="IU51" s="80"/>
      <c r="IV51" s="80"/>
    </row>
    <row r="52" spans="1:256" s="311" customFormat="1" ht="15" customHeight="1"/>
    <row r="53" spans="1:256" customFormat="1"/>
    <row r="54" spans="1:256" s="311" customFormat="1" ht="15" customHeight="1">
      <c r="C54" s="740" t="str">
        <f ca="1">"Quelle HEU: EC "&amp;_xll.PALO.DATA("jedoxtest/EU_PM_CUBE02","#_Datenstand","reference_month",$C$65)&amp;"/"&amp;_xll.PALO.DATA("jedoxtest/EU_PM_CUBE02","#_Datenstand","reference_year",$C$65)</f>
        <v>Quelle HEU: EC 5/2026</v>
      </c>
      <c r="D54" s="740"/>
      <c r="E54" s="740"/>
      <c r="F54" s="740"/>
      <c r="G54" s="740"/>
      <c r="H54" s="740"/>
      <c r="I54" s="740"/>
      <c r="J54" s="740"/>
    </row>
    <row r="55" spans="1:256" s="311" customFormat="1" ht="15" customHeight="1">
      <c r="C55" s="740" t="s">
        <v>73</v>
      </c>
      <c r="D55" s="740"/>
      <c r="E55" s="740"/>
      <c r="F55" s="740"/>
      <c r="G55" s="740"/>
      <c r="H55" s="740"/>
      <c r="I55" s="740"/>
      <c r="J55" s="740"/>
    </row>
    <row r="56" spans="1:256" s="311" customFormat="1" ht="15" customHeight="1">
      <c r="C56" s="412"/>
      <c r="D56" s="412"/>
      <c r="E56" s="412"/>
      <c r="F56" s="412"/>
      <c r="G56" s="412"/>
      <c r="H56" s="412"/>
      <c r="I56" s="412"/>
      <c r="J56" s="412" t="s">
        <v>136</v>
      </c>
    </row>
    <row r="57" spans="1:256" s="311" customFormat="1" ht="15" customHeight="1">
      <c r="C57" s="582"/>
      <c r="D57" s="582"/>
      <c r="E57" s="582"/>
      <c r="F57" s="582"/>
      <c r="G57" s="582"/>
      <c r="H57" s="582"/>
      <c r="I57" s="582"/>
      <c r="J57" s="582"/>
    </row>
    <row r="58" spans="1:256" s="72" customFormat="1">
      <c r="A58" s="80"/>
      <c r="B58" s="80"/>
      <c r="C58" s="90"/>
      <c r="D58" s="90"/>
      <c r="E58" s="90"/>
      <c r="F58" s="90"/>
      <c r="G58" s="90"/>
      <c r="H58" s="90"/>
      <c r="I58" s="90"/>
      <c r="J58" s="9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c r="HW58" s="80"/>
      <c r="HX58" s="80"/>
      <c r="HY58" s="80"/>
      <c r="HZ58" s="80"/>
      <c r="IA58" s="80"/>
      <c r="IB58" s="80"/>
      <c r="IC58" s="80"/>
      <c r="ID58" s="80"/>
      <c r="IE58" s="80"/>
      <c r="IF58" s="80"/>
      <c r="IG58" s="80"/>
      <c r="IH58" s="80"/>
      <c r="II58" s="80"/>
      <c r="IJ58" s="80"/>
      <c r="IK58" s="80"/>
      <c r="IL58" s="80"/>
      <c r="IM58" s="80"/>
      <c r="IN58" s="80"/>
      <c r="IO58" s="80"/>
      <c r="IP58" s="80"/>
      <c r="IQ58" s="80"/>
      <c r="IR58" s="80"/>
      <c r="IS58" s="80"/>
      <c r="IT58" s="80"/>
      <c r="IU58" s="80"/>
      <c r="IV58" s="80"/>
    </row>
    <row r="59" spans="1:256">
      <c r="C59" s="744" t="str">
        <f ca="1">_xll.PALO.DATA("jedoxtest/EU_PM_CUBE02","#_Staatengruppen_und_NUTS","Langbezeichnung",BL_FactSheet_Bundesland)&amp;": Beteiligungen nach Organisationstyp"</f>
        <v>Vorarlberg: Beteiligungen nach Organisationstyp</v>
      </c>
      <c r="D59" s="744"/>
      <c r="E59" s="744"/>
      <c r="F59" s="90"/>
      <c r="G59" s="90"/>
      <c r="H59" s="90"/>
      <c r="I59" s="90"/>
      <c r="J59" s="90"/>
    </row>
    <row r="60" spans="1:256">
      <c r="C60" s="91">
        <v>1</v>
      </c>
      <c r="D60" s="413" t="str">
        <f ca="1">_xll.PALO.DATAC("jedoxtest/EU_PM_CUBE02","#_Organisationstyp","Bezeichnung",C60)</f>
        <v>HES</v>
      </c>
      <c r="E60" s="91">
        <f ca="1">_xll.PALO.DATAC("jedoxtest/EU_PM_CUBE02","EUPM_Mittel2_Cube",$C$65,"Alle Beteiligungen","Alle Koordinatoren","Alle Unternehmensgrößen","-2",$C60,28,"Alle Expertevaluierungsstatus","-2","-2",BL_FactSheet_Bundesland,"-2","Alle","-2","anzahl_beteiligungen")</f>
        <v>2</v>
      </c>
      <c r="F60" s="93">
        <f ca="1">_xll.PALO.DATAC("jedoxtest/EU_PM_CUBE02","EUPM_Mittel2_Cube",$C$65,"Alle Beteiligungen","Alle Koordinatoren","Alle Unternehmensgrößen","-2",$C60,28,"Alle Expertevaluierungsstatus","-2","-2",BL_FactSheet_Bundesland,"-2","Alle","-2","anzahl_beteiligungen")/$C$37*100</f>
        <v>15.384615384615385</v>
      </c>
      <c r="G60" s="90"/>
      <c r="H60" s="90"/>
      <c r="I60" s="90"/>
      <c r="J60" s="90"/>
    </row>
    <row r="61" spans="1:256">
      <c r="C61" s="91">
        <v>2</v>
      </c>
      <c r="D61" s="413" t="str">
        <f ca="1">_xll.PALO.DATAC("jedoxtest/EU_PM_CUBE02","#_Organisationstyp","Bezeichnung",C61)</f>
        <v>PRC</v>
      </c>
      <c r="E61" s="91">
        <f ca="1">_xll.PALO.DATAC("jedoxtest/EU_PM_CUBE02","EUPM_Mittel2_Cube",$C$65,"Alle Beteiligungen","Alle Koordinatoren","Alle Unternehmensgrößen","-2",$C61,28,"Alle Expertevaluierungsstatus","-2","-2",BL_FactSheet_Bundesland,"-2","Alle","-2","anzahl_beteiligungen")</f>
        <v>10</v>
      </c>
      <c r="F61" s="93">
        <f ca="1">_xll.PALO.DATAC("jedoxtest/EU_PM_CUBE02","EUPM_Mittel2_Cube",$C$65,"Alle Beteiligungen","Alle Koordinatoren","Alle Unternehmensgrößen","-2",$C61,28,"Alle Expertevaluierungsstatus","-2","-2",BL_FactSheet_Bundesland,"-2","Alle","-2","anzahl_beteiligungen")/$C$37*100</f>
        <v>76.923076923076934</v>
      </c>
      <c r="G61" s="90"/>
      <c r="H61" s="90"/>
      <c r="I61" s="90"/>
      <c r="J61" s="90"/>
    </row>
    <row r="62" spans="1:256">
      <c r="C62" s="91">
        <v>5</v>
      </c>
      <c r="D62" s="413" t="str">
        <f ca="1">_xll.PALO.DATAC("jedoxtest/EU_PM_CUBE02","#_Organisationstyp","Bezeichnung",C62)</f>
        <v>REC</v>
      </c>
      <c r="E62" s="91">
        <f ca="1">_xll.PALO.DATAC("jedoxtest/EU_PM_CUBE02","EUPM_Mittel2_Cube",$C$65,"Alle Beteiligungen","Alle Koordinatoren","Alle Unternehmensgrößen","-2",$C62,28,"Alle Expertevaluierungsstatus","-2","-2",BL_FactSheet_Bundesland,"-2","Alle","-2","anzahl_beteiligungen")</f>
        <v>0</v>
      </c>
      <c r="F62" s="93">
        <f ca="1">_xll.PALO.DATAC("jedoxtest/EU_PM_CUBE02","EUPM_Mittel2_Cube",$C$65,"Alle Beteiligungen","Alle Koordinatoren","Alle Unternehmensgrößen","-2",$C62,28,"Alle Expertevaluierungsstatus","-2","-2",BL_FactSheet_Bundesland,"-2","Alle","-2","anzahl_beteiligungen")/$C$37*100</f>
        <v>0</v>
      </c>
      <c r="G62" s="90"/>
      <c r="H62" s="90"/>
      <c r="I62" s="90"/>
      <c r="J62" s="90"/>
    </row>
    <row r="63" spans="1:256">
      <c r="C63" s="91">
        <v>4</v>
      </c>
      <c r="D63" s="413" t="str">
        <f ca="1">_xll.PALO.DATAC("jedoxtest/EU_PM_CUBE02","#_Organisationstyp","Bezeichnung",C63)</f>
        <v>PUB</v>
      </c>
      <c r="E63" s="91">
        <f ca="1">_xll.PALO.DATAC("jedoxtest/EU_PM_CUBE02","EUPM_Mittel2_Cube",$C$65,"Alle Beteiligungen","Alle Koordinatoren","Alle Unternehmensgrößen","-2",$C63,28,"Alle Expertevaluierungsstatus","-2","-2",BL_FactSheet_Bundesland,"-2","Alle","-2","anzahl_beteiligungen")</f>
        <v>1</v>
      </c>
      <c r="F63" s="93">
        <f ca="1">_xll.PALO.DATAC("jedoxtest/EU_PM_CUBE02","EUPM_Mittel2_Cube",$C$65,"Alle Beteiligungen","Alle Koordinatoren","Alle Unternehmensgrößen","-2",$C63,28,"Alle Expertevaluierungsstatus","-2","-2",BL_FactSheet_Bundesland,"-2","Alle","-2","anzahl_beteiligungen")/$C$37*100</f>
        <v>7.6923076923076925</v>
      </c>
      <c r="G63" s="90"/>
      <c r="H63" s="90"/>
      <c r="I63" s="90"/>
      <c r="J63" s="90"/>
    </row>
    <row r="64" spans="1:256">
      <c r="C64" s="91">
        <v>3</v>
      </c>
      <c r="D64" s="413" t="str">
        <f ca="1">_xll.PALO.DATAC("jedoxtest/EU_PM_CUBE02","#_Organisationstyp","Bezeichnung",C64)</f>
        <v>OTH</v>
      </c>
      <c r="E64" s="91">
        <f ca="1">_xll.PALO.DATAC("jedoxtest/EU_PM_CUBE02","EUPM_Mittel2_Cube",$C$65,"Alle Beteiligungen","Alle Koordinatoren","Alle Unternehmensgrößen","-2",$C64,28,"Alle Expertevaluierungsstatus","-2","-2",BL_FactSheet_Bundesland,"-2","Alle","-2","anzahl_beteiligungen")</f>
        <v>0</v>
      </c>
      <c r="F64" s="93">
        <f ca="1">_xll.PALO.DATAC("jedoxtest/EU_PM_CUBE02","EUPM_Mittel2_Cube",$C$65,"Alle Beteiligungen","Alle Koordinatoren","Alle Unternehmensgrößen","-2",$C64,28,"Alle Expertevaluierungsstatus","-2","-2",BL_FactSheet_Bundesland,"-2","Alle","-2","anzahl_beteiligungen")/$C$37*100</f>
        <v>0</v>
      </c>
      <c r="G64" s="90"/>
      <c r="H64" s="90"/>
      <c r="I64" s="90"/>
      <c r="J64" s="90"/>
    </row>
    <row r="65" spans="3:10">
      <c r="C65" s="413" t="str">
        <f ca="1">_xll.PALO.ENAME("jedoxtest/EU_PM_CUBE02","Datenstand",3)</f>
        <v>117</v>
      </c>
      <c r="D65" s="91">
        <v>46</v>
      </c>
      <c r="E65" s="413"/>
      <c r="F65" s="90"/>
      <c r="G65" s="90"/>
      <c r="H65" s="90"/>
      <c r="I65" s="90"/>
      <c r="J65" s="90"/>
    </row>
    <row r="66" spans="3:10">
      <c r="D66" s="413"/>
    </row>
    <row r="70" spans="3:10" ht="15" customHeight="1"/>
    <row r="71" spans="3:10" ht="15" customHeight="1">
      <c r="C71" s="61"/>
      <c r="D71" s="61"/>
      <c r="E71" s="94"/>
      <c r="F71" s="94"/>
      <c r="G71" s="94"/>
    </row>
    <row r="72" spans="3:10" ht="15" customHeight="1">
      <c r="C72" s="61"/>
      <c r="D72" s="61"/>
      <c r="E72" s="94"/>
      <c r="F72" s="94"/>
      <c r="G72" s="94"/>
    </row>
    <row r="73" spans="3:10" ht="15" customHeight="1">
      <c r="C73" s="61"/>
      <c r="D73" s="61"/>
      <c r="E73" s="95"/>
      <c r="F73" s="97"/>
      <c r="G73" s="96"/>
    </row>
    <row r="74" spans="3:10" ht="15" customHeight="1">
      <c r="C74" s="61"/>
      <c r="D74" s="61"/>
      <c r="E74" s="94"/>
      <c r="F74" s="97"/>
      <c r="G74" s="96"/>
    </row>
    <row r="75" spans="3:10" ht="15" customHeight="1">
      <c r="C75" s="61"/>
      <c r="D75" s="61"/>
      <c r="E75" s="94"/>
      <c r="F75" s="97"/>
      <c r="G75" s="96"/>
    </row>
    <row r="76" spans="3:10" ht="15" customHeight="1">
      <c r="C76" s="61"/>
      <c r="D76" s="61"/>
      <c r="E76" s="95"/>
      <c r="F76" s="97"/>
      <c r="G76" s="96"/>
    </row>
    <row r="77" spans="3:10" ht="15" customHeight="1">
      <c r="C77" s="61"/>
      <c r="D77" s="61"/>
      <c r="E77" s="95"/>
      <c r="F77" s="97"/>
      <c r="G77" s="96"/>
    </row>
    <row r="78" spans="3:10">
      <c r="C78" s="61"/>
      <c r="D78" s="61"/>
      <c r="E78" s="95"/>
      <c r="F78" s="97"/>
      <c r="G78" s="96"/>
    </row>
    <row r="79" spans="3:10">
      <c r="C79" s="61"/>
      <c r="D79" s="61"/>
      <c r="E79" s="95"/>
      <c r="F79" s="97"/>
      <c r="G79" s="96"/>
    </row>
    <row r="80" spans="3:10">
      <c r="C80" s="61"/>
      <c r="D80" s="61"/>
      <c r="E80" s="95"/>
      <c r="F80" s="97"/>
      <c r="G80" s="96"/>
    </row>
    <row r="81" spans="3:7">
      <c r="C81" s="61"/>
      <c r="D81" s="61"/>
      <c r="E81" s="95"/>
      <c r="F81" s="97"/>
      <c r="G81" s="96"/>
    </row>
    <row r="82" spans="3:7">
      <c r="C82" s="61"/>
      <c r="D82" s="61"/>
      <c r="E82" s="95"/>
      <c r="F82" s="411"/>
      <c r="G82" s="96"/>
    </row>
    <row r="83" spans="3:7">
      <c r="C83" s="61"/>
      <c r="D83" s="61"/>
      <c r="E83" s="61"/>
      <c r="F83" s="411"/>
      <c r="G83" s="411"/>
    </row>
    <row r="84" spans="3:7">
      <c r="C84" s="61"/>
      <c r="D84" s="61"/>
      <c r="E84" s="61"/>
      <c r="F84" s="411"/>
      <c r="G84" s="411"/>
    </row>
    <row r="85" spans="3:7">
      <c r="C85" s="61"/>
      <c r="D85" s="61"/>
      <c r="E85" s="61"/>
      <c r="F85" s="411"/>
      <c r="G85" s="411"/>
    </row>
  </sheetData>
  <mergeCells count="7">
    <mergeCell ref="C59:E59"/>
    <mergeCell ref="C5:J5"/>
    <mergeCell ref="C43:E43"/>
    <mergeCell ref="C54:J54"/>
    <mergeCell ref="C55:J55"/>
    <mergeCell ref="C35:E35"/>
    <mergeCell ref="C39:E39"/>
  </mergeCells>
  <conditionalFormatting sqref="C35">
    <cfRule type="expression" dxfId="17" priority="1">
      <formula>$D35=2</formula>
    </cfRule>
  </conditionalFormatting>
  <conditionalFormatting sqref="C37:C39">
    <cfRule type="expression" dxfId="16" priority="5">
      <formula>$D37=2</formula>
    </cfRule>
  </conditionalFormatting>
  <conditionalFormatting sqref="C41:E41">
    <cfRule type="expression" dxfId="15" priority="2">
      <formula>$D41=2</formula>
    </cfRule>
  </conditionalFormatting>
  <conditionalFormatting sqref="D37:E38">
    <cfRule type="expression" dxfId="14" priority="3">
      <formula>$D37=2</formula>
    </cfRule>
  </conditionalFormatting>
  <conditionalFormatting sqref="F10:F12 F14:F19 F21:F23 F25:F26 F28:F31">
    <cfRule type="expression" dxfId="13" priority="97">
      <formula>$B9=2</formula>
    </cfRule>
  </conditionalFormatting>
  <conditionalFormatting sqref="F10:F31">
    <cfRule type="expression" dxfId="12" priority="6">
      <formula>$B10=2</formula>
    </cfRule>
  </conditionalFormatting>
  <conditionalFormatting sqref="F13 F20 F24">
    <cfRule type="expression" dxfId="11" priority="100">
      <formula>#REF!=2</formula>
    </cfRule>
  </conditionalFormatting>
  <conditionalFormatting sqref="F27">
    <cfRule type="expression" dxfId="10" priority="103">
      <formula>#REF!=2</formula>
    </cfRule>
  </conditionalFormatting>
  <conditionalFormatting sqref="H10:J31">
    <cfRule type="expression" dxfId="9"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1">
    <tabColor rgb="FF92D050"/>
    <pageSetUpPr fitToPage="1"/>
  </sheetPr>
  <dimension ref="A1:IV83"/>
  <sheetViews>
    <sheetView zoomScaleNormal="100" workbookViewId="0"/>
  </sheetViews>
  <sheetFormatPr baseColWidth="10" defaultColWidth="11.42578125" defaultRowHeight="15"/>
  <cols>
    <col min="1" max="1" width="4.28515625" style="80" customWidth="1"/>
    <col min="2" max="2" width="10.140625" style="80" hidden="1" customWidth="1"/>
    <col min="3" max="3" width="21.28515625" style="88" customWidth="1"/>
    <col min="4" max="4" width="20.28515625" style="88" customWidth="1"/>
    <col min="5" max="5" width="18.85546875" style="88" customWidth="1"/>
    <col min="6" max="7" width="11.42578125" style="80" customWidth="1"/>
    <col min="8" max="10" width="9.85546875" style="80" customWidth="1"/>
    <col min="11" max="11" width="4" style="80" customWidth="1"/>
    <col min="12" max="12" width="17.28515625" style="80" customWidth="1"/>
    <col min="13" max="26" width="17.28515625" style="88" customWidth="1"/>
    <col min="27" max="27" width="4.5703125" style="88" customWidth="1"/>
    <col min="28" max="256" width="11.42578125" style="88"/>
    <col min="257" max="16384" width="11.42578125" style="73"/>
  </cols>
  <sheetData>
    <row r="1" spans="1:256" s="72" customFormat="1" ht="15" customHeight="1">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row>
    <row r="2" spans="1:256" s="72" customFormat="1" ht="15" hidden="1" customHeight="1">
      <c r="A2" s="80" t="b">
        <f ca="1">_xll.PALO.HIDEROW(ISBLANK($A$1))</f>
        <v>1</v>
      </c>
      <c r="B2" s="81"/>
      <c r="C2" s="81"/>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256" s="72" customFormat="1" ht="15" hidden="1" customHeight="1">
      <c r="A3" s="80" t="b">
        <f ca="1">_xll.PALO.HIDEROW(ISBLANK($A$1))</f>
        <v>1</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row>
    <row r="4" spans="1:256" s="72" customFormat="1" ht="6.75"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72" customFormat="1" ht="22.5" customHeight="1">
      <c r="A5" s="80"/>
      <c r="B5" s="80"/>
      <c r="C5" s="745" t="str">
        <f ca="1">_xll.PALO.DATA("jedoxtest/EU_PM_CUBE02","#_Staatengruppen_und_NUTS","Langbezeichnung",BL_FactSheet_Bundesland)&amp;" in "&amp;_xll.PALO.DATA("jedoxtest/EU_PM_CUBE02","#_Datenstand","frameworkprog_long",$C$63)</f>
        <v>Wien in Horizon Europe</v>
      </c>
      <c r="D5" s="746"/>
      <c r="E5" s="746"/>
      <c r="F5" s="746"/>
      <c r="G5" s="746"/>
      <c r="H5" s="746"/>
      <c r="I5" s="746"/>
      <c r="J5" s="746"/>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s="72" customFormat="1" ht="39" customHeight="1">
      <c r="A6" s="80"/>
      <c r="B6" s="80"/>
      <c r="C6" s="250"/>
      <c r="D6" s="251"/>
      <c r="E6" s="251"/>
      <c r="F6" s="251"/>
      <c r="G6" s="251"/>
      <c r="H6" s="251"/>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row>
    <row r="7" spans="1:256" s="72" customFormat="1" ht="15" customHeight="1">
      <c r="A7" s="80"/>
      <c r="B7" s="80"/>
      <c r="C7" s="252"/>
      <c r="D7" s="252"/>
      <c r="E7" s="252"/>
      <c r="F7" s="252"/>
      <c r="G7" s="252"/>
      <c r="H7" s="252"/>
      <c r="I7" s="80"/>
      <c r="J7" s="80"/>
      <c r="K7" s="80"/>
      <c r="L7" s="80"/>
      <c r="M7" s="80"/>
      <c r="N7" s="80" t="s">
        <v>168</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row>
    <row r="8" spans="1:256" s="72" customFormat="1" ht="15" customHeight="1">
      <c r="A8" s="80"/>
      <c r="B8" s="80"/>
      <c r="C8" s="80"/>
      <c r="D8" s="80"/>
      <c r="E8" s="80"/>
      <c r="F8" s="80"/>
      <c r="G8" s="80"/>
      <c r="H8" s="82" t="s">
        <v>181</v>
      </c>
      <c r="I8" s="82"/>
      <c r="J8" s="82"/>
      <c r="K8" s="354"/>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row>
    <row r="9" spans="1:256" s="72" customFormat="1" ht="15" customHeight="1">
      <c r="A9" s="80"/>
      <c r="B9" s="80"/>
      <c r="C9" s="83"/>
      <c r="D9" s="83" t="str">
        <f>H9</f>
        <v>Verträge (Anzahl angedruckt)</v>
      </c>
      <c r="E9" s="411" t="s">
        <v>74</v>
      </c>
      <c r="F9" s="411" t="s">
        <v>4</v>
      </c>
      <c r="G9" s="80"/>
      <c r="H9" s="84" t="s">
        <v>285</v>
      </c>
      <c r="I9" s="84" t="s">
        <v>45</v>
      </c>
      <c r="J9" s="84" t="s">
        <v>4</v>
      </c>
      <c r="K9" s="354"/>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row>
    <row r="10" spans="1:256" s="72" customFormat="1" ht="15" customHeight="1">
      <c r="A10" s="80"/>
      <c r="B10" s="348">
        <v>6155</v>
      </c>
      <c r="C10" s="355" t="str">
        <f ca="1">_xll.PALO.DATAC("jedoxtest/EU_PM_CUBE02","#_Programme","Bezeichnung",B10)</f>
        <v>ERC</v>
      </c>
      <c r="D10" s="83">
        <f ca="1">H10</f>
        <v>180</v>
      </c>
      <c r="E10" s="86">
        <f t="shared" ref="E10:E28" ca="1" si="0">IF(I10=0,0,ABS(H10-I10))</f>
        <v>0</v>
      </c>
      <c r="F10" s="86">
        <f ca="1">J10-H10-E10</f>
        <v>655</v>
      </c>
      <c r="G10" s="80"/>
      <c r="H10" s="86">
        <f ca="1">_xll.PALO.DATAC("jedoxtest/EU_PM_CUBE02","EUPM_Mittel2_Cube",$C$63,"Alle Beteiligungen","Alle Koordinatoren","Alle Unternehmensgrößen","-2","Alle Organisationstypen",28,"Alle Expertevaluierungsstatus",$B10,"-2",BL_FactSheet_Bundesland,"-2","Alle","-2","anzahl_beteiligungen")</f>
        <v>180</v>
      </c>
      <c r="I10" s="87">
        <f ca="1">_xll.PALO.DATAC("jedoxtest/EU_PM_CUBE02","EUPM_Mittel2_Cube",$C$63,"Alle Beteiligungen","Alle Koordinatoren","Alle Unternehmensgrößen","-2","Alle Organisationstypen",28,"Alle Expertevaluierungsstatus",$B10,"-2",BL_FactSheet_Bundesland,"-2","Alle","-2","anzahl_beteiligungen")</f>
        <v>180</v>
      </c>
      <c r="J10" s="86">
        <f ca="1">_xll.PALO.DATAC("jedoxtest/EU_PM_CUBE02","EUPM_Mittel2_Cube",$C$63,"Alle Beteiligungen","Alle Koordinatoren","Alle Unternehmensgrößen","-2","Alle Organisationstypen",5,"Alle Expertevaluierungsstatus",$B10,"-2",BL_FactSheet_Bundesland,"-2","Alle","-2","anzahl_beteiligungen")</f>
        <v>835</v>
      </c>
      <c r="K10" s="80"/>
      <c r="L10" s="80"/>
      <c r="M10" s="80"/>
      <c r="N10" s="81" t="s">
        <v>54</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s="72" customFormat="1" ht="15" customHeight="1">
      <c r="A11" s="80"/>
      <c r="B11" s="348">
        <v>6156</v>
      </c>
      <c r="C11" s="355" t="str">
        <f ca="1">_xll.PALO.DATAC("jedoxtest/EU_PM_CUBE02","#_Programme","Bezeichnung",B11)</f>
        <v>MSCA</v>
      </c>
      <c r="D11" s="83">
        <f t="shared" ref="D11:D28" ca="1" si="1">H11</f>
        <v>409</v>
      </c>
      <c r="E11" s="86">
        <f t="shared" ca="1" si="0"/>
        <v>0</v>
      </c>
      <c r="F11" s="86">
        <f t="shared" ref="F11:F28" ca="1" si="2">J11-H11-E11</f>
        <v>2107</v>
      </c>
      <c r="G11" s="80"/>
      <c r="H11" s="86">
        <f ca="1">_xll.PALO.DATAC("jedoxtest/EU_PM_CUBE02","EUPM_Mittel2_Cube",$C$63,"Alle Beteiligungen","Alle Koordinatoren","Alle Unternehmensgrößen","-2","Alle Organisationstypen",28,"Alle Expertevaluierungsstatus",$B11,"-2",BL_FactSheet_Bundesland,"-2","Alle","-2","anzahl_beteiligungen")</f>
        <v>409</v>
      </c>
      <c r="I11" s="87">
        <f ca="1">_xll.PALO.DATAC("jedoxtest/EU_PM_CUBE02","EUPM_Mittel2_Cube",$C$63,"Alle Beteiligungen","Alle Koordinatoren","Alle Unternehmensgrößen","-2","Alle Organisationstypen",28,"Alle Expertevaluierungsstatus",$B11,"-2",BL_FactSheet_Bundesland,"-2","Alle","-2","anzahl_beteiligungen")</f>
        <v>409</v>
      </c>
      <c r="J11" s="86">
        <f ca="1">_xll.PALO.DATAC("jedoxtest/EU_PM_CUBE02","EUPM_Mittel2_Cube",$C$63,"Alle Beteiligungen","Alle Koordinatoren","Alle Unternehmensgrößen","-2","Alle Organisationstypen",5,"Alle Expertevaluierungsstatus",$B11,"-2",BL_FactSheet_Bundesland,"-2","Alle","-2","anzahl_beteiligungen")</f>
        <v>2516</v>
      </c>
      <c r="K11" s="80"/>
      <c r="L11" s="80"/>
      <c r="M11" s="80"/>
      <c r="N11" s="81" t="s">
        <v>53</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s="72" customFormat="1" ht="15" customHeight="1">
      <c r="A12" s="80"/>
      <c r="B12" s="348">
        <v>6157</v>
      </c>
      <c r="C12" s="355" t="str">
        <f ca="1">_xll.PALO.DATAC("jedoxtest/EU_PM_CUBE02","#_Programme","Bezeichnung",B12)</f>
        <v>RIS</v>
      </c>
      <c r="D12" s="83">
        <f t="shared" ca="1" si="1"/>
        <v>69</v>
      </c>
      <c r="E12" s="86">
        <f t="shared" ca="1" si="0"/>
        <v>0</v>
      </c>
      <c r="F12" s="86">
        <f t="shared" ca="1" si="2"/>
        <v>68</v>
      </c>
      <c r="G12" s="80"/>
      <c r="H12" s="86">
        <f ca="1">_xll.PALO.DATAC("jedoxtest/EU_PM_CUBE02","EUPM_Mittel2_Cube",$C$63,"Alle Beteiligungen","Alle Koordinatoren","Alle Unternehmensgrößen","-2","Alle Organisationstypen",28,"Alle Expertevaluierungsstatus",$B12,"-2",BL_FactSheet_Bundesland,"-2","Alle","-2","anzahl_beteiligungen")</f>
        <v>69</v>
      </c>
      <c r="I12" s="87">
        <f ca="1">_xll.PALO.DATAC("jedoxtest/EU_PM_CUBE02","EUPM_Mittel2_Cube",$C$63,"Alle Beteiligungen","Alle Koordinatoren","Alle Unternehmensgrößen","-2","Alle Organisationstypen",28,"Alle Expertevaluierungsstatus",$B12,"-2",BL_FactSheet_Bundesland,"-2","Alle","-2","anzahl_beteiligungen")</f>
        <v>69</v>
      </c>
      <c r="J12" s="86">
        <f ca="1">_xll.PALO.DATAC("jedoxtest/EU_PM_CUBE02","EUPM_Mittel2_Cube",$C$63,"Alle Beteiligungen","Alle Koordinatoren","Alle Unternehmensgrößen","-2","Alle Organisationstypen",5,"Alle Expertevaluierungsstatus",$B12,"-2",BL_FactSheet_Bundesland,"-2","Alle","-2","anzahl_beteiligungen")</f>
        <v>137</v>
      </c>
      <c r="K12" s="80"/>
      <c r="L12" s="80"/>
      <c r="M12" s="80"/>
      <c r="N12" s="81" t="s">
        <v>169</v>
      </c>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row>
    <row r="13" spans="1:256" s="72" customFormat="1" ht="15" customHeight="1">
      <c r="A13" s="80"/>
      <c r="B13" s="80"/>
      <c r="C13" s="356"/>
      <c r="D13" s="83"/>
      <c r="E13" s="86"/>
      <c r="F13" s="86"/>
      <c r="G13" s="80"/>
      <c r="H13" s="86"/>
      <c r="I13" s="87" t="str">
        <f ca="1">_xll.PALO.DATAC("jedoxtest/EU_PM_CUBE02","EUPM_Mittel2_Cube",$C$63,"Alle Beteiligungen","Alle Koordinatoren","Alle Unternehmensgrößen","-2","Alle Organisationstypen",28,"Alle Expertevaluierungsstatus",$B13,"-2",BL_FactSheet_Bundesland,"-2","Alle","-2","anzahl_beteiligungen")</f>
        <v/>
      </c>
      <c r="J13" s="86" t="str">
        <f ca="1">_xll.PALO.DATAC("jedoxtest/EU_PM_CUBE02","EUPM_Mittel2_Cube",$C$63,"Alle Beteiligungen","Alle Koordinatoren","Alle Unternehmensgrößen","-2","Alle Organisationstypen",5,"Alle Expertevaluierungsstatus",$B13,"-2",BL_FactSheet_Bundesland,"-2","Alle","-2","anzahl_beteiligungen")</f>
        <v/>
      </c>
      <c r="K13" s="80"/>
      <c r="L13" s="80"/>
      <c r="M13" s="80"/>
      <c r="N13" s="81"/>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row>
    <row r="14" spans="1:256" s="72" customFormat="1" ht="15" customHeight="1">
      <c r="A14" s="80"/>
      <c r="B14" s="348">
        <v>6158</v>
      </c>
      <c r="C14" s="355" t="str">
        <f ca="1">_xll.PALO.DATAC("jedoxtest/EU_PM_CUBE02","#_Programme","Langbezeichnung",B14)</f>
        <v>Health</v>
      </c>
      <c r="D14" s="83">
        <f t="shared" ca="1" si="1"/>
        <v>177</v>
      </c>
      <c r="E14" s="86">
        <f t="shared" ca="1" si="0"/>
        <v>0</v>
      </c>
      <c r="F14" s="86">
        <f t="shared" ca="1" si="2"/>
        <v>572</v>
      </c>
      <c r="G14" s="80"/>
      <c r="H14" s="86">
        <f ca="1">_xll.PALO.DATAC("jedoxtest/EU_PM_CUBE02","EUPM_Mittel2_Cube",$C$63,"Alle Beteiligungen","Alle Koordinatoren","Alle Unternehmensgrößen","-2","Alle Organisationstypen",28,"Alle Expertevaluierungsstatus",$B14,"-2",BL_FactSheet_Bundesland,"-2","Alle","-2","anzahl_beteiligungen")</f>
        <v>177</v>
      </c>
      <c r="I14" s="87">
        <f ca="1">_xll.PALO.DATAC("jedoxtest/EU_PM_CUBE02","EUPM_Mittel2_Cube",$C$63,"Alle Beteiligungen","Alle Koordinatoren","Alle Unternehmensgrößen","-2","Alle Organisationstypen",28,"Alle Expertevaluierungsstatus",$B14,"-2",BL_FactSheet_Bundesland,"-2","Alle","-2","anzahl_beteiligungen")</f>
        <v>177</v>
      </c>
      <c r="J14" s="86">
        <f ca="1">_xll.PALO.DATAC("jedoxtest/EU_PM_CUBE02","EUPM_Mittel2_Cube",$C$63,"Alle Beteiligungen","Alle Koordinatoren","Alle Unternehmensgrößen","-2","Alle Organisationstypen",5,"Alle Expertevaluierungsstatus",$B14,"-2",BL_FactSheet_Bundesland,"-2","Alle","-2","anzahl_beteiligungen")</f>
        <v>749</v>
      </c>
      <c r="K14" s="80"/>
      <c r="L14" s="80"/>
      <c r="M14" s="80"/>
      <c r="N14" s="81" t="s">
        <v>170</v>
      </c>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row>
    <row r="15" spans="1:256" s="72" customFormat="1" ht="15" customHeight="1">
      <c r="A15" s="80"/>
      <c r="B15" s="348">
        <v>6159</v>
      </c>
      <c r="C15" s="355" t="str">
        <f ca="1">_xll.PALO.DATAC("jedoxtest/EU_PM_CUBE02","#_Programme","Langbezeichnung",B15)</f>
        <v>Culture, creativity and inclusive society</v>
      </c>
      <c r="D15" s="83">
        <f t="shared" ca="1" si="1"/>
        <v>134</v>
      </c>
      <c r="E15" s="86">
        <f t="shared" ca="1" si="0"/>
        <v>0</v>
      </c>
      <c r="F15" s="86">
        <f t="shared" ca="1" si="2"/>
        <v>678</v>
      </c>
      <c r="G15" s="80"/>
      <c r="H15" s="86">
        <f ca="1">_xll.PALO.DATAC("jedoxtest/EU_PM_CUBE02","EUPM_Mittel2_Cube",$C$63,"Alle Beteiligungen","Alle Koordinatoren","Alle Unternehmensgrößen","-2","Alle Organisationstypen",28,"Alle Expertevaluierungsstatus",$B15,"-2",BL_FactSheet_Bundesland,"-2","Alle","-2","anzahl_beteiligungen")</f>
        <v>134</v>
      </c>
      <c r="I15" s="87">
        <f ca="1">_xll.PALO.DATAC("jedoxtest/EU_PM_CUBE02","EUPM_Mittel2_Cube",$C$63,"Alle Beteiligungen","Alle Koordinatoren","Alle Unternehmensgrößen","-2","Alle Organisationstypen",28,"Alle Expertevaluierungsstatus",$B15,"-2",BL_FactSheet_Bundesland,"-2","Alle","-2","anzahl_beteiligungen")</f>
        <v>134</v>
      </c>
      <c r="J15" s="86">
        <f ca="1">_xll.PALO.DATAC("jedoxtest/EU_PM_CUBE02","EUPM_Mittel2_Cube",$C$63,"Alle Beteiligungen","Alle Koordinatoren","Alle Unternehmensgrößen","-2","Alle Organisationstypen",5,"Alle Expertevaluierungsstatus",$B15,"-2",BL_FactSheet_Bundesland,"-2","Alle","-2","anzahl_beteiligungen")</f>
        <v>812</v>
      </c>
      <c r="K15" s="80"/>
      <c r="L15" s="80"/>
      <c r="M15" s="80"/>
      <c r="N15" s="81" t="s">
        <v>177</v>
      </c>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row>
    <row r="16" spans="1:256" s="72" customFormat="1" ht="15" customHeight="1">
      <c r="A16" s="80"/>
      <c r="B16" s="348">
        <v>6160</v>
      </c>
      <c r="C16" s="355" t="str">
        <f ca="1">_xll.PALO.DATAC("jedoxtest/EU_PM_CUBE02","#_Programme","Langbezeichnung",B16)</f>
        <v>Civil Security for Society</v>
      </c>
      <c r="D16" s="83">
        <f t="shared" ca="1" si="1"/>
        <v>56</v>
      </c>
      <c r="E16" s="86">
        <f t="shared" ca="1" si="0"/>
        <v>0</v>
      </c>
      <c r="F16" s="86">
        <f t="shared" ca="1" si="2"/>
        <v>566</v>
      </c>
      <c r="G16" s="80"/>
      <c r="H16" s="86">
        <f ca="1">_xll.PALO.DATAC("jedoxtest/EU_PM_CUBE02","EUPM_Mittel2_Cube",$C$63,"Alle Beteiligungen","Alle Koordinatoren","Alle Unternehmensgrößen","-2","Alle Organisationstypen",28,"Alle Expertevaluierungsstatus",$B16,"-2",BL_FactSheet_Bundesland,"-2","Alle","-2","anzahl_beteiligungen")</f>
        <v>56</v>
      </c>
      <c r="I16" s="87">
        <f ca="1">_xll.PALO.DATAC("jedoxtest/EU_PM_CUBE02","EUPM_Mittel2_Cube",$C$63,"Alle Beteiligungen","Alle Koordinatoren","Alle Unternehmensgrößen","-2","Alle Organisationstypen",28,"Alle Expertevaluierungsstatus",$B16,"-2",BL_FactSheet_Bundesland,"-2","Alle","-2","anzahl_beteiligungen")</f>
        <v>56</v>
      </c>
      <c r="J16" s="86">
        <f ca="1">_xll.PALO.DATAC("jedoxtest/EU_PM_CUBE02","EUPM_Mittel2_Cube",$C$63,"Alle Beteiligungen","Alle Koordinatoren","Alle Unternehmensgrößen","-2","Alle Organisationstypen",5,"Alle Expertevaluierungsstatus",$B16,"-2",BL_FactSheet_Bundesland,"-2","Alle","-2","anzahl_beteiligungen")</f>
        <v>622</v>
      </c>
      <c r="K16" s="80"/>
      <c r="L16" s="80"/>
      <c r="M16" s="80"/>
      <c r="N16" s="81" t="s">
        <v>176</v>
      </c>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row>
    <row r="17" spans="1:256" s="72" customFormat="1" ht="15" customHeight="1">
      <c r="A17" s="80"/>
      <c r="B17" s="348">
        <v>6161</v>
      </c>
      <c r="C17" s="355" t="str">
        <f ca="1">_xll.PALO.DATAC("jedoxtest/EU_PM_CUBE02","#_Programme","Langbezeichnung",B17)</f>
        <v>Digital, Industry and Space</v>
      </c>
      <c r="D17" s="83">
        <f t="shared" ca="1" si="1"/>
        <v>263</v>
      </c>
      <c r="E17" s="86">
        <f t="shared" ca="1" si="0"/>
        <v>0</v>
      </c>
      <c r="F17" s="86">
        <f t="shared" ca="1" si="2"/>
        <v>1048</v>
      </c>
      <c r="G17" s="80"/>
      <c r="H17" s="86">
        <f ca="1">_xll.PALO.DATAC("jedoxtest/EU_PM_CUBE02","EUPM_Mittel2_Cube",$C$63,"Alle Beteiligungen","Alle Koordinatoren","Alle Unternehmensgrößen","-2","Alle Organisationstypen",28,"Alle Expertevaluierungsstatus",$B17,"-2",BL_FactSheet_Bundesland,"-2","Alle","-2","anzahl_beteiligungen")</f>
        <v>263</v>
      </c>
      <c r="I17" s="87">
        <f ca="1">_xll.PALO.DATAC("jedoxtest/EU_PM_CUBE02","EUPM_Mittel2_Cube",$C$63,"Alle Beteiligungen","Alle Koordinatoren","Alle Unternehmensgrößen","-2","Alle Organisationstypen",28,"Alle Expertevaluierungsstatus",$B17,"-2",BL_FactSheet_Bundesland,"-2","Alle","-2","anzahl_beteiligungen")</f>
        <v>263</v>
      </c>
      <c r="J17" s="86">
        <f ca="1">_xll.PALO.DATAC("jedoxtest/EU_PM_CUBE02","EUPM_Mittel2_Cube",$C$63,"Alle Beteiligungen","Alle Koordinatoren","Alle Unternehmensgrößen","-2","Alle Organisationstypen",5,"Alle Expertevaluierungsstatus",$B17,"-2",BL_FactSheet_Bundesland,"-2","Alle","-2","anzahl_beteiligungen")</f>
        <v>1311</v>
      </c>
      <c r="K17" s="80"/>
      <c r="L17" s="80"/>
      <c r="M17" s="80"/>
      <c r="N17" s="81" t="s">
        <v>171</v>
      </c>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row>
    <row r="18" spans="1:256" s="72" customFormat="1" ht="26.25" customHeight="1">
      <c r="A18" s="80"/>
      <c r="B18" s="348">
        <v>6162</v>
      </c>
      <c r="C18" s="355" t="str">
        <f ca="1">_xll.PALO.DATAC("jedoxtest/EU_PM_CUBE02","#_Programme","Langbezeichnung",B18)</f>
        <v>Climate, Energy and Mobility</v>
      </c>
      <c r="D18" s="83">
        <f t="shared" ca="1" si="1"/>
        <v>370</v>
      </c>
      <c r="E18" s="86">
        <f t="shared" ca="1" si="0"/>
        <v>0</v>
      </c>
      <c r="F18" s="86">
        <f t="shared" ca="1" si="2"/>
        <v>1232</v>
      </c>
      <c r="G18" s="80"/>
      <c r="H18" s="86">
        <f ca="1">_xll.PALO.DATAC("jedoxtest/EU_PM_CUBE02","EUPM_Mittel2_Cube",$C$63,"Alle Beteiligungen","Alle Koordinatoren","Alle Unternehmensgrößen","-2","Alle Organisationstypen",28,"Alle Expertevaluierungsstatus",$B18,"-2",BL_FactSheet_Bundesland,"-2","Alle","-2","anzahl_beteiligungen")</f>
        <v>370</v>
      </c>
      <c r="I18" s="87">
        <f ca="1">_xll.PALO.DATAC("jedoxtest/EU_PM_CUBE02","EUPM_Mittel2_Cube",$C$63,"Alle Beteiligungen","Alle Koordinatoren","Alle Unternehmensgrößen","-2","Alle Organisationstypen",28,"Alle Expertevaluierungsstatus",$B18,"-2",BL_FactSheet_Bundesland,"-2","Alle","-2","anzahl_beteiligungen")</f>
        <v>370</v>
      </c>
      <c r="J18" s="86">
        <f ca="1">_xll.PALO.DATAC("jedoxtest/EU_PM_CUBE02","EUPM_Mittel2_Cube",$C$63,"Alle Beteiligungen","Alle Koordinatoren","Alle Unternehmensgrößen","-2","Alle Organisationstypen",5,"Alle Expertevaluierungsstatus",$B18,"-2",BL_FactSheet_Bundesland,"-2","Alle","-2","anzahl_beteiligungen")</f>
        <v>1602</v>
      </c>
      <c r="K18" s="80"/>
      <c r="L18" s="80"/>
      <c r="M18" s="80"/>
      <c r="N18" s="81" t="s">
        <v>172</v>
      </c>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row>
    <row r="19" spans="1:256" s="72" customFormat="1" ht="26.25" customHeight="1">
      <c r="A19" s="80"/>
      <c r="B19" s="348">
        <v>6163</v>
      </c>
      <c r="C19" s="355" t="str">
        <f ca="1">_xll.PALO.DATAC("jedoxtest/EU_PM_CUBE02","#_Programme","Langbezeichnung",B19)</f>
        <v>Food, Bioeconomy Natural Resources, Agriculture and Environment</v>
      </c>
      <c r="D19" s="83">
        <f t="shared" ca="1" si="1"/>
        <v>261</v>
      </c>
      <c r="E19" s="86">
        <f t="shared" ca="1" si="0"/>
        <v>0</v>
      </c>
      <c r="F19" s="86">
        <f t="shared" ca="1" si="2"/>
        <v>729</v>
      </c>
      <c r="G19" s="80"/>
      <c r="H19" s="86">
        <f ca="1">_xll.PALO.DATAC("jedoxtest/EU_PM_CUBE02","EUPM_Mittel2_Cube",$C$63,"Alle Beteiligungen","Alle Koordinatoren","Alle Unternehmensgrößen","-2","Alle Organisationstypen",28,"Alle Expertevaluierungsstatus",$B19,"-2",BL_FactSheet_Bundesland,"-2","Alle","-2","anzahl_beteiligungen")</f>
        <v>261</v>
      </c>
      <c r="I19" s="87">
        <f ca="1">_xll.PALO.DATAC("jedoxtest/EU_PM_CUBE02","EUPM_Mittel2_Cube",$C$63,"Alle Beteiligungen","Alle Koordinatoren","Alle Unternehmensgrößen","-2","Alle Organisationstypen",28,"Alle Expertevaluierungsstatus",$B19,"-2",BL_FactSheet_Bundesland,"-2","Alle","-2","anzahl_beteiligungen")</f>
        <v>261</v>
      </c>
      <c r="J19" s="86">
        <f ca="1">_xll.PALO.DATAC("jedoxtest/EU_PM_CUBE02","EUPM_Mittel2_Cube",$C$63,"Alle Beteiligungen","Alle Koordinatoren","Alle Unternehmensgrößen","-2","Alle Organisationstypen",5,"Alle Expertevaluierungsstatus",$B19,"-2",BL_FactSheet_Bundesland,"-2","Alle","-2","anzahl_beteiligungen")</f>
        <v>990</v>
      </c>
      <c r="K19" s="80"/>
      <c r="L19" s="80"/>
      <c r="M19" s="80"/>
      <c r="N19" s="81" t="s">
        <v>178</v>
      </c>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row>
    <row r="20" spans="1:256" s="72" customFormat="1" ht="26.25" customHeight="1">
      <c r="A20" s="80"/>
      <c r="B20" s="80"/>
      <c r="C20" s="356"/>
      <c r="D20" s="83"/>
      <c r="E20" s="86"/>
      <c r="F20" s="86"/>
      <c r="G20" s="80"/>
      <c r="H20" s="86"/>
      <c r="I20" s="87" t="str">
        <f ca="1">_xll.PALO.DATAC("jedoxtest/EU_PM_CUBE02","EUPM_Mittel2_Cube",$C$63,"Alle Beteiligungen","Alle Koordinatoren","Alle Unternehmensgrößen","-2","Alle Organisationstypen",28,"Alle Expertevaluierungsstatus",$B20,"-2",BL_FactSheet_Bundesland,"-2","Alle","-2","anzahl_beteiligungen")</f>
        <v/>
      </c>
      <c r="J20" s="86" t="str">
        <f ca="1">_xll.PALO.DATAC("jedoxtest/EU_PM_CUBE02","EUPM_Mittel2_Cube",$C$63,"Alle Beteiligungen","Alle Koordinatoren","Alle Unternehmensgrößen","-2","Alle Organisationstypen",5,"Alle Expertevaluierungsstatus",$B20,"-2",BL_FactSheet_Bundesland,"-2","Alle","-2","anzahl_beteiligungen")</f>
        <v/>
      </c>
      <c r="K20" s="80"/>
      <c r="L20" s="80"/>
      <c r="M20" s="80"/>
      <c r="N20" s="81"/>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row>
    <row r="21" spans="1:256" s="72" customFormat="1" ht="26.25" customHeight="1">
      <c r="A21" s="80"/>
      <c r="B21" s="348">
        <v>6164</v>
      </c>
      <c r="C21" s="355" t="str">
        <f ca="1">_xll.PALO.DATAC("jedoxtest/EU_PM_CUBE02","#_Programme","Bezeichnung",B21)</f>
        <v>EIC</v>
      </c>
      <c r="D21" s="83">
        <f t="shared" ca="1" si="1"/>
        <v>56</v>
      </c>
      <c r="E21" s="86">
        <f t="shared" ca="1" si="0"/>
        <v>0</v>
      </c>
      <c r="F21" s="86">
        <f t="shared" ca="1" si="2"/>
        <v>710</v>
      </c>
      <c r="G21" s="80"/>
      <c r="H21" s="86">
        <f ca="1">_xll.PALO.DATAC("jedoxtest/EU_PM_CUBE02","EUPM_Mittel2_Cube",$C$63,"Alle Beteiligungen","Alle Koordinatoren","Alle Unternehmensgrößen","-2","Alle Organisationstypen",28,"Alle Expertevaluierungsstatus",$B21,"-2",BL_FactSheet_Bundesland,"-2","Alle","-2","anzahl_beteiligungen")</f>
        <v>56</v>
      </c>
      <c r="I21" s="87">
        <f ca="1">_xll.PALO.DATAC("jedoxtest/EU_PM_CUBE02","EUPM_Mittel2_Cube",$C$63,"Alle Beteiligungen","Alle Koordinatoren","Alle Unternehmensgrößen","-2","Alle Organisationstypen",28,"Alle Expertevaluierungsstatus",$B21,"-2",BL_FactSheet_Bundesland,"-2","Alle","-2","anzahl_beteiligungen")</f>
        <v>56</v>
      </c>
      <c r="J21" s="86">
        <f ca="1">_xll.PALO.DATAC("jedoxtest/EU_PM_CUBE02","EUPM_Mittel2_Cube",$C$63,"Alle Beteiligungen","Alle Koordinatoren","Alle Unternehmensgrößen","-2","Alle Organisationstypen",5,"Alle Expertevaluierungsstatus",$B21,"-2",BL_FactSheet_Bundesland,"-2","Alle","-2","anzahl_beteiligungen")</f>
        <v>766</v>
      </c>
      <c r="K21" s="80"/>
      <c r="L21" s="80"/>
      <c r="M21" s="80"/>
      <c r="N21" s="81" t="s">
        <v>173</v>
      </c>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row>
    <row r="22" spans="1:256" s="72" customFormat="1" ht="26.25" customHeight="1">
      <c r="A22" s="80"/>
      <c r="B22" s="348">
        <v>6165</v>
      </c>
      <c r="C22" s="355" t="str">
        <f ca="1">_xll.PALO.DATAC("jedoxtest/EU_PM_CUBE02","#_Programme","Bezeichnung",B22)</f>
        <v>EIE</v>
      </c>
      <c r="D22" s="83">
        <f t="shared" ca="1" si="1"/>
        <v>9</v>
      </c>
      <c r="E22" s="86">
        <f t="shared" ca="1" si="0"/>
        <v>0</v>
      </c>
      <c r="F22" s="86">
        <f t="shared" ca="1" si="2"/>
        <v>61</v>
      </c>
      <c r="G22" s="80"/>
      <c r="H22" s="86">
        <f ca="1">_xll.PALO.DATAC("jedoxtest/EU_PM_CUBE02","EUPM_Mittel2_Cube",$C$63,"Alle Beteiligungen","Alle Koordinatoren","Alle Unternehmensgrößen","-2","Alle Organisationstypen",28,"Alle Expertevaluierungsstatus",$B22,"-2",BL_FactSheet_Bundesland,"-2","Alle","-2","anzahl_beteiligungen")</f>
        <v>9</v>
      </c>
      <c r="I22" s="87">
        <f ca="1">_xll.PALO.DATAC("jedoxtest/EU_PM_CUBE02","EUPM_Mittel2_Cube",$C$63,"Alle Beteiligungen","Alle Koordinatoren","Alle Unternehmensgrößen","-2","Alle Organisationstypen",28,"Alle Expertevaluierungsstatus",$B22,"-2",BL_FactSheet_Bundesland,"-2","Alle","-2","anzahl_beteiligungen")</f>
        <v>9</v>
      </c>
      <c r="J22" s="86">
        <f ca="1">_xll.PALO.DATAC("jedoxtest/EU_PM_CUBE02","EUPM_Mittel2_Cube",$C$63,"Alle Beteiligungen","Alle Koordinatoren","Alle Unternehmensgrößen","-2","Alle Organisationstypen",5,"Alle Expertevaluierungsstatus",$B22,"-2",BL_FactSheet_Bundesland,"-2","Alle","-2","anzahl_beteiligungen")</f>
        <v>70</v>
      </c>
      <c r="K22" s="80"/>
      <c r="L22" s="80"/>
      <c r="M22" s="80"/>
      <c r="N22" s="81" t="s">
        <v>174</v>
      </c>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row>
    <row r="23" spans="1:256" s="72" customFormat="1" ht="26.25" customHeight="1">
      <c r="A23" s="80"/>
      <c r="B23" s="348">
        <v>6166</v>
      </c>
      <c r="C23" s="355" t="str">
        <f ca="1">_xll.PALO.DATAC("jedoxtest/EU_PM_CUBE02","#_Programme","Bezeichnung",B23)</f>
        <v>EIT</v>
      </c>
      <c r="D23" s="83">
        <f t="shared" ca="1" si="1"/>
        <v>8</v>
      </c>
      <c r="E23" s="86">
        <f t="shared" ca="1" si="0"/>
        <v>0</v>
      </c>
      <c r="F23" s="86">
        <f t="shared" ca="1" si="2"/>
        <v>0</v>
      </c>
      <c r="G23" s="80"/>
      <c r="H23" s="86">
        <f ca="1">_xll.PALO.DATAC("jedoxtest/EU_PM_CUBE02","EUPM_Mittel2_Cube",$C$63,"Alle Beteiligungen","Alle Koordinatoren","Alle Unternehmensgrößen","-2","Alle Organisationstypen",28,"Alle Expertevaluierungsstatus",$B23,"-2",BL_FactSheet_Bundesland,"-2","Alle","-2","anzahl_beteiligungen")</f>
        <v>8</v>
      </c>
      <c r="I23" s="87">
        <f ca="1">_xll.PALO.DATAC("jedoxtest/EU_PM_CUBE02","EUPM_Mittel2_Cube",$C$63,"Alle Beteiligungen","Alle Koordinatoren","Alle Unternehmensgrößen","-2","Alle Organisationstypen",28,"Alle Expertevaluierungsstatus",$B23,"-2",BL_FactSheet_Bundesland,"-2","Alle","-2","anzahl_beteiligungen")</f>
        <v>8</v>
      </c>
      <c r="J23" s="86">
        <f ca="1">_xll.PALO.DATAC("jedoxtest/EU_PM_CUBE02","EUPM_Mittel2_Cube",$C$63,"Alle Beteiligungen","Alle Koordinatoren","Alle Unternehmensgrößen","-2","Alle Organisationstypen",5,"Alle Expertevaluierungsstatus",$B23,"-2",BL_FactSheet_Bundesland,"-2","Alle","-2","anzahl_beteiligungen")</f>
        <v>8</v>
      </c>
      <c r="K23" s="80"/>
      <c r="L23" s="80"/>
      <c r="M23" s="80"/>
      <c r="N23" s="81" t="s">
        <v>175</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row>
    <row r="24" spans="1:256" s="72" customFormat="1" ht="26.25" customHeight="1">
      <c r="A24" s="80"/>
      <c r="B24" s="80"/>
      <c r="C24" s="355"/>
      <c r="D24" s="83"/>
      <c r="E24" s="86"/>
      <c r="F24" s="86"/>
      <c r="G24" s="80"/>
      <c r="H24" s="86"/>
      <c r="I24" s="87" t="str">
        <f ca="1">_xll.PALO.DATAC("jedoxtest/EU_PM_CUBE02","EUPM_Mittel2_Cube",$C$63,"Alle Beteiligungen","Alle Koordinatoren","Alle Unternehmensgrößen","-2","Alle Organisationstypen",28,"Alle Expertevaluierungsstatus",$B24,"-2",BL_FactSheet_Bundesland,"-2","Alle","-2","anzahl_beteiligungen")</f>
        <v/>
      </c>
      <c r="J24" s="86" t="str">
        <f ca="1">_xll.PALO.DATAC("jedoxtest/EU_PM_CUBE02","EUPM_Mittel2_Cube",$C$63,"Alle Beteiligungen","Alle Koordinatoren","Alle Unternehmensgrößen","-2","Alle Organisationstypen",5,"Alle Expertevaluierungsstatus",$B24,"-2",BL_FactSheet_Bundesland,"-2","Alle","-2","anzahl_beteiligungen")</f>
        <v/>
      </c>
      <c r="K24" s="80"/>
      <c r="L24" s="80"/>
      <c r="M24" s="80"/>
      <c r="N24" s="81"/>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row>
    <row r="25" spans="1:256" s="72" customFormat="1" ht="15" customHeight="1">
      <c r="A25" s="80"/>
      <c r="B25" s="348">
        <v>6167</v>
      </c>
      <c r="C25" s="355" t="str">
        <f ca="1">_xll.PALO.DATAC("jedoxtest/EU_PM_CUBE02","#_Programme","Langbezeichnung",B25)</f>
        <v>Widening participation and spreading excellence</v>
      </c>
      <c r="D25" s="83">
        <f t="shared" ca="1" si="1"/>
        <v>37</v>
      </c>
      <c r="E25" s="86">
        <f t="shared" ca="1" si="0"/>
        <v>0</v>
      </c>
      <c r="F25" s="86">
        <f t="shared" ca="1" si="2"/>
        <v>173</v>
      </c>
      <c r="G25" s="80"/>
      <c r="H25" s="86">
        <f ca="1">_xll.PALO.DATAC("jedoxtest/EU_PM_CUBE02","EUPM_Mittel2_Cube",$C$63,"Alle Beteiligungen","Alle Koordinatoren","Alle Unternehmensgrößen","-2","Alle Organisationstypen",28,"Alle Expertevaluierungsstatus",$B25,"-2",BL_FactSheet_Bundesland,"-2","Alle","-2","anzahl_beteiligungen")</f>
        <v>37</v>
      </c>
      <c r="I25" s="87">
        <f ca="1">_xll.PALO.DATAC("jedoxtest/EU_PM_CUBE02","EUPM_Mittel2_Cube",$C$63,"Alle Beteiligungen","Alle Koordinatoren","Alle Unternehmensgrößen","-2","Alle Organisationstypen",28,"Alle Expertevaluierungsstatus",$B25,"-2",BL_FactSheet_Bundesland,"-2","Alle","-2","anzahl_beteiligungen")</f>
        <v>37</v>
      </c>
      <c r="J25" s="86">
        <f ca="1">_xll.PALO.DATAC("jedoxtest/EU_PM_CUBE02","EUPM_Mittel2_Cube",$C$63,"Alle Beteiligungen","Alle Koordinatoren","Alle Unternehmensgrößen","-2","Alle Organisationstypen",5,"Alle Expertevaluierungsstatus",$B25,"-2",BL_FactSheet_Bundesland,"-2","Alle","-2","anzahl_beteiligungen")</f>
        <v>210</v>
      </c>
      <c r="K25" s="80"/>
      <c r="L25" s="80"/>
      <c r="M25" s="80"/>
      <c r="N25" s="81" t="s">
        <v>179</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row>
    <row r="26" spans="1:256" s="72" customFormat="1" ht="15" customHeight="1">
      <c r="A26" s="80"/>
      <c r="B26" s="348">
        <v>6168</v>
      </c>
      <c r="C26" s="355" t="str">
        <f ca="1">_xll.PALO.DATAC("jedoxtest/EU_PM_CUBE02","#_Programme","Langbezeichnung",B26)</f>
        <v>Reforming and enhancing the European R&amp;I System</v>
      </c>
      <c r="D26" s="83">
        <f t="shared" ca="1" si="1"/>
        <v>32</v>
      </c>
      <c r="E26" s="86">
        <f t="shared" ca="1" si="0"/>
        <v>0</v>
      </c>
      <c r="F26" s="86">
        <f t="shared" ca="1" si="2"/>
        <v>74</v>
      </c>
      <c r="G26" s="80"/>
      <c r="H26" s="86">
        <f ca="1">_xll.PALO.DATAC("jedoxtest/EU_PM_CUBE02","EUPM_Mittel2_Cube",$C$63,"Alle Beteiligungen","Alle Koordinatoren","Alle Unternehmensgrößen","-2","Alle Organisationstypen",28,"Alle Expertevaluierungsstatus",$B26,"-2",BL_FactSheet_Bundesland,"-2","Alle","-2","anzahl_beteiligungen")</f>
        <v>32</v>
      </c>
      <c r="I26" s="87">
        <f ca="1">_xll.PALO.DATAC("jedoxtest/EU_PM_CUBE02","EUPM_Mittel2_Cube",$C$63,"Alle Beteiligungen","Alle Koordinatoren","Alle Unternehmensgrößen","-2","Alle Organisationstypen",28,"Alle Expertevaluierungsstatus",$B26,"-2",BL_FactSheet_Bundesland,"-2","Alle","-2","anzahl_beteiligungen")</f>
        <v>32</v>
      </c>
      <c r="J26" s="86">
        <f ca="1">_xll.PALO.DATAC("jedoxtest/EU_PM_CUBE02","EUPM_Mittel2_Cube",$C$63,"Alle Beteiligungen","Alle Koordinatoren","Alle Unternehmensgrößen","-2","Alle Organisationstypen",5,"Alle Expertevaluierungsstatus",$B26,"-2",BL_FactSheet_Bundesland,"-2","Alle","-2","anzahl_beteiligungen")</f>
        <v>106</v>
      </c>
      <c r="K26" s="80"/>
      <c r="L26" s="80"/>
      <c r="M26" s="80"/>
      <c r="N26" s="81" t="s">
        <v>180</v>
      </c>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row>
    <row r="27" spans="1:256" s="72" customFormat="1" ht="15" customHeight="1">
      <c r="A27" s="80"/>
      <c r="B27" s="80"/>
      <c r="C27" s="355"/>
      <c r="D27" s="83"/>
      <c r="E27" s="86"/>
      <c r="F27" s="86"/>
      <c r="G27" s="80"/>
      <c r="H27" s="86"/>
      <c r="I27" s="87"/>
      <c r="J27" s="86"/>
      <c r="K27" s="80"/>
      <c r="L27" s="80"/>
      <c r="M27" s="80"/>
      <c r="N27" s="81"/>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row>
    <row r="28" spans="1:256" s="72" customFormat="1" ht="15" customHeight="1">
      <c r="A28" s="80"/>
      <c r="B28" s="80">
        <v>6150</v>
      </c>
      <c r="C28" s="355" t="str">
        <f ca="1">_xll.PALO.DATAC("jedoxtest/EU_PM_CUBE02","#_Programme","Bezeichnung",B28)</f>
        <v>EURATOM</v>
      </c>
      <c r="D28" s="83">
        <f t="shared" ca="1" si="1"/>
        <v>0</v>
      </c>
      <c r="E28" s="86">
        <f t="shared" ca="1" si="0"/>
        <v>0</v>
      </c>
      <c r="F28" s="86">
        <f t="shared" ca="1" si="2"/>
        <v>0</v>
      </c>
      <c r="G28" s="80"/>
      <c r="H28" s="86">
        <f ca="1">_xll.PALO.DATAC("jedoxtest/EU_PM_CUBE02","EUPM_Mittel2_Cube",$C$63,"Alle Beteiligungen","Alle Koordinatoren","Alle Unternehmensgrößen","-2","Alle Organisationstypen",28,"Alle Expertevaluierungsstatus",$B28,"-2",BL_FactSheet_Bundesland,"-2","Alle","-2","anzahl_beteiligungen")</f>
        <v>0</v>
      </c>
      <c r="I28" s="87">
        <f ca="1">_xll.PALO.DATAC("jedoxtest/EU_PM_CUBE02","EUPM_Mittel2_Cube",$C$63,"Alle Beteiligungen","Alle Koordinatoren","Alle Unternehmensgrößen","-2","Alle Organisationstypen",28,"Alle Expertevaluierungsstatus",$B28,"-2",BL_FactSheet_Bundesland,"-2","Alle","-2","anzahl_beteiligungen")</f>
        <v>0</v>
      </c>
      <c r="J28" s="86">
        <f ca="1">_xll.PALO.DATAC("jedoxtest/EU_PM_CUBE02","EUPM_Mittel2_Cube",$C$63,"Alle Beteiligungen","Alle Koordinatoren","Alle Unternehmensgrößen","-2","Alle Organisationstypen",5,"Alle Expertevaluierungsstatus",$B28,"-2",BL_FactSheet_Bundesland,"-2","Alle","-2","anzahl_beteiligungen")</f>
        <v>0</v>
      </c>
      <c r="K28" s="80"/>
      <c r="L28" s="80"/>
      <c r="M28" s="80"/>
      <c r="N28" s="81" t="s">
        <v>8</v>
      </c>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row>
    <row r="29" spans="1:256" s="72" customFormat="1" ht="15" customHeight="1">
      <c r="A29" s="80"/>
      <c r="B29" s="80"/>
      <c r="C29" s="85"/>
      <c r="D29" s="83"/>
      <c r="E29" s="86"/>
      <c r="F29" s="86"/>
      <c r="G29" s="80"/>
      <c r="H29" s="86"/>
      <c r="I29" s="87"/>
      <c r="J29" s="86"/>
      <c r="K29" s="80"/>
      <c r="L29" s="80"/>
      <c r="M29" s="80"/>
      <c r="N29" s="81"/>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row>
    <row r="30" spans="1:256" s="72" customFormat="1" ht="15" customHeight="1">
      <c r="A30" s="80"/>
      <c r="B30" s="80"/>
      <c r="C30" s="85"/>
      <c r="D30" s="83"/>
      <c r="E30" s="86"/>
      <c r="F30" s="86"/>
      <c r="G30" s="80"/>
      <c r="H30" s="86"/>
      <c r="I30" s="87"/>
      <c r="J30" s="86"/>
      <c r="K30" s="80"/>
      <c r="L30" s="80"/>
      <c r="M30" s="80"/>
      <c r="N30" s="81"/>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row>
    <row r="31" spans="1:256" s="72" customFormat="1" ht="15" customHeight="1">
      <c r="A31" s="80"/>
      <c r="B31" s="80"/>
      <c r="C31" s="85"/>
      <c r="D31" s="83"/>
      <c r="E31" s="86"/>
      <c r="F31" s="86"/>
      <c r="G31" s="80"/>
      <c r="H31" s="86"/>
      <c r="I31" s="87"/>
      <c r="J31" s="86"/>
      <c r="K31" s="80"/>
      <c r="L31" s="80"/>
      <c r="M31" s="80"/>
      <c r="N31" s="81"/>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row>
    <row r="32" spans="1:256" s="72" customFormat="1" ht="15" customHeight="1">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row>
    <row r="33" spans="1:256" s="72" customFormat="1" ht="15" customHeight="1">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row>
    <row r="34" spans="1:256" s="72" customFormat="1" ht="15" customHeight="1">
      <c r="A34" s="80"/>
      <c r="B34" s="80"/>
      <c r="C34" s="748" t="str">
        <f ca="1">"Eckdaten für "&amp;_xll.PALO.DATA("jedoxtest/EU_PM_CUBE02","#_Staatengruppen_und_NUTS","Langbezeichnung",BL_FactSheet_Bundesland)</f>
        <v>Eckdaten für Wien</v>
      </c>
      <c r="D34" s="748"/>
      <c r="E34" s="748"/>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row>
    <row r="35" spans="1:256" ht="15" customHeight="1">
      <c r="C35" s="98" t="s">
        <v>1</v>
      </c>
      <c r="D35" s="99" t="s">
        <v>46</v>
      </c>
      <c r="E35" s="100" t="s">
        <v>3</v>
      </c>
    </row>
    <row r="36" spans="1:256" s="72" customFormat="1" ht="15" customHeight="1">
      <c r="A36" s="80"/>
      <c r="B36" s="80"/>
      <c r="C36" s="101">
        <f ca="1">_xll.PALO.DATAC("jedoxtest/EU_PM_CUBE02","EUPM_Mittel2_Cube",$C$63,"Alle Beteiligungen","Alle Koordinatoren","Alle Unternehmensgrößen","-2","Alle Organisationstypen",28,"Alle Expertevaluierungsstatus","-2","-2",BL_FactSheet_Bundesland,"-2","Alle","-2","anzahl_beteiligungen")</f>
        <v>2061</v>
      </c>
      <c r="D36" s="101" t="str">
        <f ca="1">TEXT(_xll.PALO.DATAC("jedoxtest/EU_PM_CUBE02","EUPM_Mittel2_Cube",$C$63,"Alle Beteiligungen","Alle Koordinatoren","Alle Unternehmensgrößen","-2","Alle Organisationstypen",28,"Alle Expertevaluierungsstatus","-2","-2",BL_FactSheet_Bundesland,"-2","Alle","-2","foerderung"),"#.##0,0..")&amp;" Mio. €"</f>
        <v>1.002,1 Mio. €</v>
      </c>
      <c r="E36" s="101">
        <f ca="1">_xll.PALO.DATAC("jedoxtest/EU_PM_CUBE02","EUPM_Mittel2_Cube",$C$63,"Alle Beteiligungen","Alle Koordinatoren","Alle Unternehmensgrößen","-2","Alle Organisationstypen",28,"Alle Expertevaluierungsstatus","-2","-2",BL_FactSheet_Bundesland,"-2","Alle","-2","anzahl_koordinatoren")</f>
        <v>456</v>
      </c>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row>
    <row r="37" spans="1:256" s="72" customFormat="1" ht="3.75" customHeight="1">
      <c r="A37" s="80"/>
      <c r="B37" s="80"/>
      <c r="C37" s="101"/>
      <c r="D37" s="101"/>
      <c r="E37" s="101"/>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row>
    <row r="38" spans="1:256" s="72" customFormat="1" ht="15" customHeight="1">
      <c r="A38" s="80"/>
      <c r="B38" s="80"/>
      <c r="C38" s="748" t="s">
        <v>293</v>
      </c>
      <c r="D38" s="748"/>
      <c r="E38" s="748"/>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row>
    <row r="39" spans="1:256" s="72" customFormat="1" ht="15" customHeight="1">
      <c r="A39" s="80"/>
      <c r="B39" s="80"/>
      <c r="C39" s="98" t="s">
        <v>1</v>
      </c>
      <c r="D39" s="99" t="s">
        <v>46</v>
      </c>
      <c r="E39" s="100" t="s">
        <v>3</v>
      </c>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row>
    <row r="40" spans="1:256" s="72" customFormat="1" ht="15" customHeight="1">
      <c r="A40" s="80"/>
      <c r="B40" s="80"/>
      <c r="C40" s="583">
        <f ca="1">_xll.PALO.DATAC("jedoxtest/EU_PM_CUBE02","EUPM_Mittel2_Cube",$C$63,"Alle Beteiligungen","Alle Koordinatoren","Alle Unternehmensgrößen","-2","Alle Organisationstypen",28,"Alle Expertevaluierungsstatus","-2","-2",BL_FactSheet_Bundesland,"-2","Alle","-2","anzahl_beteiligungen")/_xll.PALO.DATAC("jedoxtest/EU_PM_CUBE02","EUPM_Mittel2_Cube",$C$63,"Alle Beteiligungen","Alle Koordinatoren","Alle Unternehmensgrößen","-2","Alle Organisationstypen",28,"Alle Expertevaluierungsstatus","-2","-2",1,"-2","Alle","-2","anzahl_beteiligungen")</f>
        <v>0.52589946414901756</v>
      </c>
      <c r="D40" s="583">
        <f ca="1">_xll.PALO.DATAC("jedoxtest/EU_PM_CUBE02","EUPM_Mittel2_Cube",$C$63,"Alle Beteiligungen","Alle Koordinatoren","Alle Unternehmensgrößen","-2","Alle Organisationstypen",28,"Alle Expertevaluierungsstatus","-2","-2",BL_FactSheet_Bundesland,"-2","Alle","-2","foerderung")/_xll.PALO.DATAC("jedoxtest/EU_PM_CUBE02","EUPM_Mittel2_Cube",$C$63,"Alle Beteiligungen","Alle Koordinatoren","Alle Unternehmensgrößen","-2","Alle Organisationstypen",28,"Alle Expertevaluierungsstatus","-2","-2",1,"-2","Alle","-2","foerderung")</f>
        <v>0.5398837824852708</v>
      </c>
      <c r="E40" s="583">
        <f ca="1">_xll.PALO.DATAC("jedoxtest/EU_PM_CUBE02","EUPM_Mittel2_Cube",$C$63,"Alle Beteiligungen","Alle Koordinatoren","Alle Unternehmensgrößen","-2","Alle Organisationstypen",28,"Alle Expertevaluierungsstatus","-2","-2",BL_FactSheet_Bundesland,"-2","Alle","-2","anzahl_koordinatoren")/_xll.PALO.DATAC("jedoxtest/EU_PM_CUBE02","EUPM_Mittel2_Cube",$C$63,"Alle Beteiligungen","Alle Koordinatoren","Alle Unternehmensgrößen","-2","Alle Organisationstypen",28,"Alle Expertevaluierungsstatus","-2","-2",1,"-2","Alle","-2","anzahl_koordinatoren")</f>
        <v>0.58914728682170547</v>
      </c>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row>
    <row r="41" spans="1:256" s="72" customFormat="1" ht="15" customHeight="1">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row>
    <row r="42" spans="1:256" ht="15" customHeight="1">
      <c r="C42" s="747" t="str">
        <f>UPPER("Top Player mit Vertrag in Horizon Europe")</f>
        <v>TOP PLAYER MIT VERTRAG IN HORIZON EUROPE</v>
      </c>
      <c r="D42" s="747"/>
      <c r="E42" s="747"/>
    </row>
    <row r="43" spans="1:256" s="72" customFormat="1">
      <c r="A43" s="80"/>
      <c r="B43" s="80"/>
      <c r="C43" s="417" t="s">
        <v>199</v>
      </c>
      <c r="D43" s="654"/>
      <c r="E43" s="654"/>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row>
    <row r="44" spans="1:256" s="72" customFormat="1" ht="15" customHeight="1">
      <c r="A44" s="80"/>
      <c r="B44" s="80"/>
      <c r="C44" s="353" t="s">
        <v>246</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row>
    <row r="45" spans="1:256" s="72" customFormat="1" ht="15" customHeight="1">
      <c r="A45" s="80"/>
      <c r="B45" s="80"/>
      <c r="C45" s="353" t="s">
        <v>200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row>
    <row r="46" spans="1:256" s="72" customFormat="1" ht="15" customHeight="1">
      <c r="A46" s="80"/>
      <c r="B46" s="80"/>
      <c r="C46" s="353" t="s">
        <v>320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row>
    <row r="47" spans="1:256" s="72" customFormat="1" ht="15" customHeight="1">
      <c r="A47" s="80"/>
      <c r="B47" s="80" t="s">
        <v>12</v>
      </c>
      <c r="C47" s="353" t="s">
        <v>432</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row>
    <row r="48" spans="1:256" s="72" customFormat="1" ht="15" customHeight="1">
      <c r="A48" s="80"/>
      <c r="B48" s="80"/>
      <c r="C48" s="353"/>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row>
    <row r="49" spans="1:256" ht="15" customHeight="1">
      <c r="C49" s="102" t="s">
        <v>405</v>
      </c>
      <c r="D49" s="103" t="s">
        <v>406</v>
      </c>
      <c r="E49" s="104" t="s">
        <v>407</v>
      </c>
    </row>
    <row r="50" spans="1:256" s="72" customFormat="1" ht="15" customHeight="1">
      <c r="A50" s="80"/>
      <c r="B50" s="80"/>
      <c r="C50" s="105" t="str">
        <f>TEXT(VLOOKUP($D$63,uebbneu_Factsheet_AT!$C$72:$G$81,3,FALSE),"#.##0..")&amp;" Mio. €"</f>
        <v>118.680 Mio. €</v>
      </c>
      <c r="D50" s="105" t="str">
        <f>TEXT(VLOOKUP($D$63,uebbneu_Factsheet_AT!$C$72:$G$81,4,FALSE),"#.##0..")&amp;" Mio. €"</f>
        <v>4.832 Mio. €</v>
      </c>
      <c r="E50" s="106">
        <f>VLOOKUP($D$63,uebbneu_Factsheet_AT!$C$72:$G$81,5,FALSE)</f>
        <v>4.0712521065048871E-2</v>
      </c>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c r="HW50" s="80"/>
      <c r="HX50" s="80"/>
      <c r="HY50" s="80"/>
      <c r="HZ50" s="80"/>
      <c r="IA50" s="80"/>
      <c r="IB50" s="80"/>
      <c r="IC50" s="80"/>
      <c r="ID50" s="80"/>
      <c r="IE50" s="80"/>
      <c r="IF50" s="80"/>
      <c r="IG50" s="80"/>
      <c r="IH50" s="80"/>
      <c r="II50" s="80"/>
      <c r="IJ50" s="80"/>
      <c r="IK50" s="80"/>
      <c r="IL50" s="80"/>
      <c r="IM50" s="80"/>
      <c r="IN50" s="80"/>
      <c r="IO50" s="80"/>
      <c r="IP50" s="80"/>
      <c r="IQ50" s="80"/>
      <c r="IR50" s="80"/>
      <c r="IS50" s="80"/>
      <c r="IT50" s="80"/>
      <c r="IU50" s="80"/>
      <c r="IV50" s="80"/>
    </row>
    <row r="51" spans="1:256" s="311" customFormat="1" ht="15" customHeight="1"/>
    <row r="52" spans="1:256" customFormat="1"/>
    <row r="53" spans="1:256" s="311" customFormat="1" ht="15" customHeight="1">
      <c r="C53" s="740" t="str">
        <f ca="1">"Quelle HEU: EC "&amp;_xll.PALO.DATA("jedoxtest/EU_PM_CUBE02","#_Datenstand","reference_month",$C$63)&amp;"/"&amp;_xll.PALO.DATA("jedoxtest/EU_PM_CUBE02","#_Datenstand","reference_year",$C$63)</f>
        <v>Quelle HEU: EC 5/2026</v>
      </c>
      <c r="D53" s="740"/>
      <c r="E53" s="740"/>
      <c r="F53" s="740"/>
      <c r="G53" s="740"/>
      <c r="H53" s="740"/>
      <c r="I53" s="740"/>
      <c r="J53" s="740"/>
    </row>
    <row r="54" spans="1:256" s="311" customFormat="1" ht="15" customHeight="1">
      <c r="C54" s="740" t="s">
        <v>73</v>
      </c>
      <c r="D54" s="740"/>
      <c r="E54" s="740"/>
      <c r="F54" s="740"/>
      <c r="G54" s="740"/>
      <c r="H54" s="740"/>
      <c r="I54" s="740"/>
      <c r="J54" s="740"/>
    </row>
    <row r="55" spans="1:256" s="311" customFormat="1" ht="15" customHeight="1">
      <c r="C55" s="412"/>
      <c r="D55" s="412"/>
      <c r="E55" s="412"/>
      <c r="F55" s="412"/>
      <c r="G55" s="412"/>
      <c r="H55" s="412"/>
      <c r="I55" s="412"/>
      <c r="J55" s="412" t="s">
        <v>136</v>
      </c>
    </row>
    <row r="56" spans="1:256" s="72" customFormat="1">
      <c r="A56" s="80"/>
      <c r="B56" s="80"/>
      <c r="C56" s="90"/>
      <c r="D56" s="90"/>
      <c r="E56" s="90"/>
      <c r="F56" s="90"/>
      <c r="G56" s="90"/>
      <c r="H56" s="90"/>
      <c r="I56" s="90"/>
      <c r="J56" s="9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c r="HW56" s="80"/>
      <c r="HX56" s="80"/>
      <c r="HY56" s="80"/>
      <c r="HZ56" s="80"/>
      <c r="IA56" s="80"/>
      <c r="IB56" s="80"/>
      <c r="IC56" s="80"/>
      <c r="ID56" s="80"/>
      <c r="IE56" s="80"/>
      <c r="IF56" s="80"/>
      <c r="IG56" s="80"/>
      <c r="IH56" s="80"/>
      <c r="II56" s="80"/>
      <c r="IJ56" s="80"/>
      <c r="IK56" s="80"/>
      <c r="IL56" s="80"/>
      <c r="IM56" s="80"/>
      <c r="IN56" s="80"/>
      <c r="IO56" s="80"/>
      <c r="IP56" s="80"/>
      <c r="IQ56" s="80"/>
      <c r="IR56" s="80"/>
      <c r="IS56" s="80"/>
      <c r="IT56" s="80"/>
      <c r="IU56" s="80"/>
      <c r="IV56" s="80"/>
    </row>
    <row r="57" spans="1:256">
      <c r="C57" s="744" t="str">
        <f ca="1">_xll.PALO.DATA("jedoxtest/EU_PM_CUBE02","#_Staatengruppen_und_NUTS","Langbezeichnung",BL_FactSheet_Bundesland)&amp;": Beteiligungen nach Organisationstyp"</f>
        <v>Wien: Beteiligungen nach Organisationstyp</v>
      </c>
      <c r="D57" s="744"/>
      <c r="E57" s="744"/>
      <c r="F57" s="90"/>
      <c r="G57" s="90"/>
      <c r="H57" s="90"/>
      <c r="I57" s="90"/>
      <c r="J57" s="90"/>
    </row>
    <row r="58" spans="1:256">
      <c r="C58" s="91">
        <v>1</v>
      </c>
      <c r="D58" s="413" t="str">
        <f ca="1">_xll.PALO.DATAC("jedoxtest/EU_PM_CUBE02","#_Organisationstyp","Bezeichnung",C58)</f>
        <v>HES</v>
      </c>
      <c r="E58" s="91">
        <f ca="1">_xll.PALO.DATAC("jedoxtest/EU_PM_CUBE02","EUPM_Mittel2_Cube",$C$63,"Alle Beteiligungen","Alle Koordinatoren","Alle Unternehmensgrößen","-2",$C58,28,"Alle Expertevaluierungsstatus","-2","-2",BL_FactSheet_Bundesland,"-2","Alle","-2","anzahl_beteiligungen")</f>
        <v>754</v>
      </c>
      <c r="F58" s="93">
        <f ca="1">_xll.PALO.DATAC("jedoxtest/EU_PM_CUBE02","EUPM_Mittel2_Cube",$C$63,"Alle Beteiligungen","Alle Koordinatoren","Alle Unternehmensgrößen","-2",$C58,28,"Alle Expertevaluierungsstatus","-2","-2",BL_FactSheet_Bundesland,"-2","Alle","-2","anzahl_beteiligungen")/$C$36*100</f>
        <v>36.584182435710822</v>
      </c>
      <c r="G58" s="90"/>
      <c r="H58" s="90"/>
      <c r="I58" s="90"/>
      <c r="J58" s="90"/>
    </row>
    <row r="59" spans="1:256">
      <c r="C59" s="91">
        <v>2</v>
      </c>
      <c r="D59" s="413" t="str">
        <f ca="1">_xll.PALO.DATAC("jedoxtest/EU_PM_CUBE02","#_Organisationstyp","Bezeichnung",C59)</f>
        <v>PRC</v>
      </c>
      <c r="E59" s="91">
        <f ca="1">_xll.PALO.DATAC("jedoxtest/EU_PM_CUBE02","EUPM_Mittel2_Cube",$C$63,"Alle Beteiligungen","Alle Koordinatoren","Alle Unternehmensgrößen","-2",$C59,28,"Alle Expertevaluierungsstatus","-2","-2",BL_FactSheet_Bundesland,"-2","Alle","-2","anzahl_beteiligungen")</f>
        <v>481</v>
      </c>
      <c r="F59" s="93">
        <f ca="1">_xll.PALO.DATAC("jedoxtest/EU_PM_CUBE02","EUPM_Mittel2_Cube",$C$63,"Alle Beteiligungen","Alle Koordinatoren","Alle Unternehmensgrößen","-2",$C59,28,"Alle Expertevaluierungsstatus","-2","-2",BL_FactSheet_Bundesland,"-2","Alle","-2","anzahl_beteiligungen")/$C$36*100</f>
        <v>23.338185346918973</v>
      </c>
      <c r="G59" s="90"/>
      <c r="H59" s="90"/>
      <c r="I59" s="90"/>
      <c r="J59" s="90"/>
    </row>
    <row r="60" spans="1:256">
      <c r="C60" s="91">
        <v>5</v>
      </c>
      <c r="D60" s="413" t="str">
        <f ca="1">_xll.PALO.DATAC("jedoxtest/EU_PM_CUBE02","#_Organisationstyp","Bezeichnung",C60)</f>
        <v>REC</v>
      </c>
      <c r="E60" s="91">
        <f ca="1">_xll.PALO.DATAC("jedoxtest/EU_PM_CUBE02","EUPM_Mittel2_Cube",$C$63,"Alle Beteiligungen","Alle Koordinatoren","Alle Unternehmensgrößen","-2",$C60,28,"Alle Expertevaluierungsstatus","-2","-2",BL_FactSheet_Bundesland,"-2","Alle","-2","anzahl_beteiligungen")</f>
        <v>554</v>
      </c>
      <c r="F60" s="93">
        <f ca="1">_xll.PALO.DATAC("jedoxtest/EU_PM_CUBE02","EUPM_Mittel2_Cube",$C$63,"Alle Beteiligungen","Alle Koordinatoren","Alle Unternehmensgrößen","-2",$C60,28,"Alle Expertevaluierungsstatus","-2","-2",BL_FactSheet_Bundesland,"-2","Alle","-2","anzahl_beteiligungen")/$C$36*100</f>
        <v>26.880155264434741</v>
      </c>
      <c r="G60" s="90"/>
      <c r="H60" s="90"/>
      <c r="I60" s="90"/>
      <c r="J60" s="90"/>
    </row>
    <row r="61" spans="1:256">
      <c r="C61" s="91">
        <v>4</v>
      </c>
      <c r="D61" s="413" t="str">
        <f ca="1">_xll.PALO.DATAC("jedoxtest/EU_PM_CUBE02","#_Organisationstyp","Bezeichnung",C61)</f>
        <v>PUB</v>
      </c>
      <c r="E61" s="91">
        <f ca="1">_xll.PALO.DATAC("jedoxtest/EU_PM_CUBE02","EUPM_Mittel2_Cube",$C$63,"Alle Beteiligungen","Alle Koordinatoren","Alle Unternehmensgrößen","-2",$C61,28,"Alle Expertevaluierungsstatus","-2","-2",BL_FactSheet_Bundesland,"-2","Alle","-2","anzahl_beteiligungen")</f>
        <v>87</v>
      </c>
      <c r="F61" s="93">
        <f ca="1">_xll.PALO.DATAC("jedoxtest/EU_PM_CUBE02","EUPM_Mittel2_Cube",$C$63,"Alle Beteiligungen","Alle Koordinatoren","Alle Unternehmensgrößen","-2",$C61,28,"Alle Expertevaluierungsstatus","-2","-2",BL_FactSheet_Bundesland,"-2","Alle","-2","anzahl_beteiligungen")/$C$36*100</f>
        <v>4.2212518195050945</v>
      </c>
      <c r="G61" s="90"/>
      <c r="H61" s="90"/>
      <c r="I61" s="90"/>
      <c r="J61" s="90"/>
    </row>
    <row r="62" spans="1:256">
      <c r="C62" s="91">
        <v>3</v>
      </c>
      <c r="D62" s="413" t="str">
        <f ca="1">_xll.PALO.DATAC("jedoxtest/EU_PM_CUBE02","#_Organisationstyp","Bezeichnung",C62)</f>
        <v>OTH</v>
      </c>
      <c r="E62" s="91">
        <f ca="1">_xll.PALO.DATAC("jedoxtest/EU_PM_CUBE02","EUPM_Mittel2_Cube",$C$63,"Alle Beteiligungen","Alle Koordinatoren","Alle Unternehmensgrößen","-2",$C62,28,"Alle Expertevaluierungsstatus","-2","-2",BL_FactSheet_Bundesland,"-2","Alle","-2","anzahl_beteiligungen")</f>
        <v>185</v>
      </c>
      <c r="F62" s="93">
        <f ca="1">_xll.PALO.DATAC("jedoxtest/EU_PM_CUBE02","EUPM_Mittel2_Cube",$C$63,"Alle Beteiligungen","Alle Koordinatoren","Alle Unternehmensgrößen","-2",$C62,28,"Alle Expertevaluierungsstatus","-2","-2",BL_FactSheet_Bundesland,"-2","Alle","-2","anzahl_beteiligungen")/$C$36*100</f>
        <v>8.9762251334303738</v>
      </c>
      <c r="G62" s="90"/>
      <c r="H62" s="90"/>
      <c r="I62" s="90"/>
      <c r="J62" s="90"/>
    </row>
    <row r="63" spans="1:256">
      <c r="C63" s="413" t="str">
        <f ca="1">_xll.PALO.ENAME("jedoxtest/EU_PM_CUBE02","Datenstand",3)</f>
        <v>117</v>
      </c>
      <c r="D63" s="91">
        <v>15</v>
      </c>
      <c r="E63" s="413"/>
      <c r="F63" s="90"/>
      <c r="G63" s="90"/>
      <c r="H63" s="90"/>
      <c r="I63" s="90"/>
      <c r="J63" s="90"/>
    </row>
    <row r="64" spans="1:256">
      <c r="D64" s="413"/>
    </row>
    <row r="68" spans="3:7" ht="15" customHeight="1"/>
    <row r="69" spans="3:7" ht="15" customHeight="1">
      <c r="C69" s="61"/>
      <c r="D69" s="61"/>
      <c r="E69" s="94"/>
      <c r="F69" s="94"/>
      <c r="G69" s="94"/>
    </row>
    <row r="70" spans="3:7" ht="15" customHeight="1">
      <c r="C70" s="61"/>
      <c r="D70" s="61"/>
      <c r="E70" s="94"/>
      <c r="F70" s="94"/>
      <c r="G70" s="94"/>
    </row>
    <row r="71" spans="3:7" ht="15" customHeight="1">
      <c r="C71" s="61"/>
      <c r="D71" s="61"/>
      <c r="E71" s="95"/>
      <c r="F71" s="97"/>
      <c r="G71" s="96"/>
    </row>
    <row r="72" spans="3:7" ht="15" customHeight="1">
      <c r="C72" s="61"/>
      <c r="D72" s="61"/>
      <c r="E72" s="94"/>
      <c r="F72" s="97"/>
      <c r="G72" s="96"/>
    </row>
    <row r="73" spans="3:7" ht="15" customHeight="1">
      <c r="C73" s="61"/>
      <c r="D73" s="61"/>
      <c r="E73" s="94"/>
      <c r="F73" s="97"/>
      <c r="G73" s="96"/>
    </row>
    <row r="74" spans="3:7" ht="15" customHeight="1">
      <c r="C74" s="61"/>
      <c r="D74" s="61"/>
      <c r="E74" s="95"/>
      <c r="F74" s="97"/>
      <c r="G74" s="96"/>
    </row>
    <row r="75" spans="3:7" ht="15" customHeight="1">
      <c r="C75" s="61"/>
      <c r="D75" s="61"/>
      <c r="E75" s="95"/>
      <c r="F75" s="97"/>
      <c r="G75" s="96"/>
    </row>
    <row r="76" spans="3:7">
      <c r="C76" s="61"/>
      <c r="D76" s="61"/>
      <c r="E76" s="95"/>
      <c r="F76" s="97"/>
      <c r="G76" s="96"/>
    </row>
    <row r="77" spans="3:7">
      <c r="C77" s="61"/>
      <c r="D77" s="61"/>
      <c r="E77" s="95"/>
      <c r="F77" s="97"/>
      <c r="G77" s="96"/>
    </row>
    <row r="78" spans="3:7">
      <c r="C78" s="61"/>
      <c r="D78" s="61"/>
      <c r="E78" s="95"/>
      <c r="F78" s="97"/>
      <c r="G78" s="96"/>
    </row>
    <row r="79" spans="3:7">
      <c r="C79" s="61"/>
      <c r="D79" s="61"/>
      <c r="E79" s="95"/>
      <c r="F79" s="97"/>
      <c r="G79" s="96"/>
    </row>
    <row r="80" spans="3:7">
      <c r="C80" s="61"/>
      <c r="D80" s="61"/>
      <c r="E80" s="95"/>
      <c r="F80" s="411"/>
      <c r="G80" s="96"/>
    </row>
    <row r="81" spans="3:7">
      <c r="C81" s="61"/>
      <c r="D81" s="61"/>
      <c r="E81" s="61"/>
      <c r="F81" s="411"/>
      <c r="G81" s="411"/>
    </row>
    <row r="82" spans="3:7">
      <c r="C82" s="61"/>
      <c r="D82" s="61"/>
      <c r="E82" s="61"/>
      <c r="F82" s="411"/>
      <c r="G82" s="411"/>
    </row>
    <row r="83" spans="3:7">
      <c r="C83" s="61"/>
      <c r="D83" s="61"/>
      <c r="E83" s="61"/>
      <c r="F83" s="411"/>
      <c r="G83" s="411"/>
    </row>
  </sheetData>
  <mergeCells count="7">
    <mergeCell ref="C5:J5"/>
    <mergeCell ref="C42:E42"/>
    <mergeCell ref="C53:J53"/>
    <mergeCell ref="C54:J54"/>
    <mergeCell ref="C57:E57"/>
    <mergeCell ref="C34:E34"/>
    <mergeCell ref="C38:E38"/>
  </mergeCells>
  <conditionalFormatting sqref="C34">
    <cfRule type="expression" dxfId="8" priority="1">
      <formula>$D34=2</formula>
    </cfRule>
  </conditionalFormatting>
  <conditionalFormatting sqref="C36:C38">
    <cfRule type="expression" dxfId="7" priority="5">
      <formula>$D36=2</formula>
    </cfRule>
  </conditionalFormatting>
  <conditionalFormatting sqref="C40:E40">
    <cfRule type="expression" dxfId="6" priority="2">
      <formula>$D40=2</formula>
    </cfRule>
  </conditionalFormatting>
  <conditionalFormatting sqref="D36:E37">
    <cfRule type="expression" dxfId="5" priority="3">
      <formula>$D36=2</formula>
    </cfRule>
  </conditionalFormatting>
  <conditionalFormatting sqref="F10:F12 F14:F19 F21:F23 F25:F26 F28:F31">
    <cfRule type="expression" dxfId="4" priority="97">
      <formula>$B9=2</formula>
    </cfRule>
  </conditionalFormatting>
  <conditionalFormatting sqref="F10:F31">
    <cfRule type="expression" dxfId="3" priority="6">
      <formula>$B10=2</formula>
    </cfRule>
  </conditionalFormatting>
  <conditionalFormatting sqref="F13 F20 F24">
    <cfRule type="expression" dxfId="2" priority="100">
      <formula>#REF!=2</formula>
    </cfRule>
  </conditionalFormatting>
  <conditionalFormatting sqref="F27">
    <cfRule type="expression" dxfId="1" priority="103">
      <formula>#REF!=2</formula>
    </cfRule>
  </conditionalFormatting>
  <conditionalFormatting sqref="H10:J31">
    <cfRule type="expression" dxfId="0" priority="7">
      <formula>$B10=2</formula>
    </cfRule>
  </conditionalFormatting>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4">
    <tabColor rgb="FF92D050"/>
    <pageSetUpPr fitToPage="1"/>
  </sheetPr>
  <dimension ref="B1:P51"/>
  <sheetViews>
    <sheetView topLeftCell="A30" zoomScaleNormal="100" workbookViewId="0">
      <selection activeCell="D46" sqref="D46"/>
    </sheetView>
  </sheetViews>
  <sheetFormatPr baseColWidth="10" defaultColWidth="11.42578125" defaultRowHeight="15"/>
  <cols>
    <col min="1" max="1" width="15" style="161" customWidth="1"/>
    <col min="2" max="2" width="20" style="161" customWidth="1"/>
    <col min="3" max="3" width="17.85546875" style="161" customWidth="1"/>
    <col min="4" max="4" width="18.42578125" style="161" customWidth="1"/>
    <col min="5" max="5" width="14.140625" style="161" customWidth="1"/>
    <col min="6" max="6" width="19.5703125" style="161" customWidth="1"/>
    <col min="7" max="7" width="14" style="161" customWidth="1"/>
    <col min="8" max="8" width="18.7109375" style="161" customWidth="1"/>
    <col min="9" max="9" width="14.28515625" style="161" customWidth="1"/>
    <col min="10" max="10" width="4.140625" style="161" customWidth="1"/>
    <col min="11" max="16384" width="11.42578125" style="161"/>
  </cols>
  <sheetData>
    <row r="1" spans="3:16" ht="15" customHeight="1"/>
    <row r="2" spans="3:16" ht="24.75" customHeight="1">
      <c r="C2" s="213" t="str">
        <f ca="1">"EU-Beteiligung in "&amp;_xll.PALO.DATA("jedoxtest/EU_PM_CUBE02","#_Datenstand","frameworkprog_long",Datenstand)</f>
        <v>EU-Beteiligung in Horizon Europe</v>
      </c>
      <c r="D2" s="214"/>
      <c r="E2" s="214"/>
      <c r="F2" s="214"/>
      <c r="G2" s="214"/>
      <c r="H2" s="214"/>
      <c r="I2" s="214"/>
      <c r="L2" s="161" t="s">
        <v>182</v>
      </c>
    </row>
    <row r="3" spans="3:16" ht="15" customHeight="1"/>
    <row r="4" spans="3:16" ht="15" customHeight="1">
      <c r="N4" s="161" t="s">
        <v>75</v>
      </c>
      <c r="O4" s="161" t="s">
        <v>76</v>
      </c>
      <c r="P4" s="161" t="s">
        <v>17</v>
      </c>
    </row>
    <row r="5" spans="3:16">
      <c r="L5" s="215">
        <v>52</v>
      </c>
      <c r="M5" s="161" t="s">
        <v>80</v>
      </c>
      <c r="N5" s="161">
        <v>9.8000000000000007</v>
      </c>
      <c r="O5" s="161">
        <v>12.9</v>
      </c>
      <c r="P5" s="199">
        <f ca="1">_xll.PALO.DATAC("jedoxtest/EU_PM_CUBE02","EUPM_Mittel2_Cube",Datenstand,"Alle Beteiligungen","Alle Koordinatoren","Alle Unternehmensgrößen","-2","Alle Organisationstypen",28,"Alle Expertevaluierungsstatus","-2","-2",$L5,"-2","Alle","-2","anzahl_beteiligungen")</f>
        <v>7409</v>
      </c>
    </row>
    <row r="6" spans="3:16">
      <c r="L6" s="215">
        <v>114</v>
      </c>
      <c r="M6" s="161" t="s">
        <v>81</v>
      </c>
      <c r="N6" s="161">
        <v>22</v>
      </c>
      <c r="O6" s="161">
        <v>6.5</v>
      </c>
      <c r="P6" s="199">
        <f ca="1">_xll.PALO.DATAC("jedoxtest/EU_PM_CUBE02","EUPM_Mittel2_Cube",Datenstand,"Alle Beteiligungen","Alle Koordinatoren","Alle Unternehmensgrößen","-2","Alle Organisationstypen",28,"Alle Expertevaluierungsstatus","-2","-2",$L6,"-2","Alle","-2","anzahl_beteiligungen")</f>
        <v>804</v>
      </c>
    </row>
    <row r="7" spans="3:16">
      <c r="L7" s="215">
        <v>711</v>
      </c>
      <c r="M7" s="161" t="s">
        <v>82</v>
      </c>
      <c r="N7" s="161">
        <v>12.5</v>
      </c>
      <c r="O7" s="161">
        <v>17.3</v>
      </c>
      <c r="P7" s="199">
        <f ca="1">_xll.PALO.DATAC("jedoxtest/EU_PM_CUBE02","EUPM_Mittel2_Cube",Datenstand,"Alle Beteiligungen","Alle Koordinatoren","Alle Unternehmensgrößen","-2","Alle Organisationstypen",28,"Alle Expertevaluierungsstatus","-2","-2",$L7,"-2","Alle","-2","anzahl_beteiligungen")</f>
        <v>3426</v>
      </c>
    </row>
    <row r="8" spans="3:16">
      <c r="L8" s="215">
        <v>223</v>
      </c>
      <c r="M8" s="161" t="s">
        <v>83</v>
      </c>
      <c r="N8" s="161">
        <v>13</v>
      </c>
      <c r="O8" s="161">
        <v>13.5</v>
      </c>
      <c r="P8" s="199">
        <f ca="1">_xll.PALO.DATAC("jedoxtest/EU_PM_CUBE02","EUPM_Mittel2_Cube",Datenstand,"Alle Beteiligungen","Alle Koordinatoren","Alle Unternehmensgrößen","-2","Alle Organisationstypen",28,"Alle Expertevaluierungsstatus","-2","-2",$L8,"-2","Alle","-2","anzahl_beteiligungen")</f>
        <v>15212</v>
      </c>
    </row>
    <row r="9" spans="3:16">
      <c r="L9" s="215">
        <v>732</v>
      </c>
      <c r="M9" s="161" t="s">
        <v>84</v>
      </c>
      <c r="N9" s="161">
        <v>22.5</v>
      </c>
      <c r="O9" s="161">
        <v>19.399999999999999</v>
      </c>
      <c r="P9" s="199">
        <f ca="1">_xll.PALO.DATAC("jedoxtest/EU_PM_CUBE02","EUPM_Mittel2_Cube",Datenstand,"Alle Beteiligungen","Alle Koordinatoren","Alle Unternehmensgrößen","-2","Alle Organisationstypen",28,"Alle Expertevaluierungsstatus","-2","-2",$L9,"-2","Alle","-2","anzahl_beteiligungen")</f>
        <v>905</v>
      </c>
    </row>
    <row r="10" spans="3:16">
      <c r="L10" s="215">
        <v>904</v>
      </c>
      <c r="M10" s="161" t="s">
        <v>85</v>
      </c>
      <c r="N10" s="161">
        <v>22</v>
      </c>
      <c r="O10" s="161">
        <v>22</v>
      </c>
      <c r="P10" s="199">
        <f ca="1">_xll.PALO.DATAC("jedoxtest/EU_PM_CUBE02","EUPM_Mittel2_Cube",Datenstand,"Alle Beteiligungen","Alle Koordinatoren","Alle Unternehmensgrößen","-2","Alle Organisationstypen",28,"Alle Expertevaluierungsstatus","-2","-2",$L10,"-2","Alle","-2","anzahl_beteiligungen")</f>
        <v>3295</v>
      </c>
    </row>
    <row r="11" spans="3:16">
      <c r="L11" s="215">
        <v>935</v>
      </c>
      <c r="M11" s="161" t="s">
        <v>86</v>
      </c>
      <c r="N11" s="161">
        <v>8.1</v>
      </c>
      <c r="O11" s="161">
        <v>10</v>
      </c>
      <c r="P11" s="199">
        <f ca="1">_xll.PALO.DATAC("jedoxtest/EU_PM_CUBE02","EUPM_Mittel2_Cube",Datenstand,"Alle Beteiligungen","Alle Koordinatoren","Alle Unternehmensgrößen","-2","Alle Organisationstypen",28,"Alle Expertevaluierungsstatus","-2","-2",$L11,"-2","Alle","-2","anzahl_beteiligungen")</f>
        <v>12554</v>
      </c>
    </row>
    <row r="12" spans="3:16">
      <c r="L12" s="215">
        <v>743</v>
      </c>
      <c r="M12" s="161" t="s">
        <v>87</v>
      </c>
      <c r="N12" s="161">
        <v>20.2</v>
      </c>
      <c r="O12" s="161">
        <v>4</v>
      </c>
      <c r="P12" s="199">
        <f ca="1">_xll.PALO.DATAC("jedoxtest/EU_PM_CUBE02","EUPM_Mittel2_Cube",Datenstand,"Alle Beteiligungen","Alle Koordinatoren","Alle Unternehmensgrößen","-2","Alle Organisationstypen",28,"Alle Expertevaluierungsstatus","-2","-2",$L12,"-2","Alle","-2","anzahl_beteiligungen")</f>
        <v>5879</v>
      </c>
    </row>
    <row r="13" spans="3:16">
      <c r="L13" s="215">
        <v>1134</v>
      </c>
      <c r="M13" s="161" t="s">
        <v>88</v>
      </c>
      <c r="N13" s="161">
        <v>2.2000000000000002</v>
      </c>
      <c r="O13" s="161">
        <v>15</v>
      </c>
      <c r="P13" s="199">
        <f ca="1">_xll.PALO.DATAC("jedoxtest/EU_PM_CUBE02","EUPM_Mittel2_Cube",Datenstand,"Alle Beteiligungen","Alle Koordinatoren","Alle Unternehmensgrößen","-2","Alle Organisationstypen",28,"Alle Expertevaluierungsstatus","-2","-2",$L13,"-2","Alle","-2","anzahl_beteiligungen")</f>
        <v>2518</v>
      </c>
    </row>
    <row r="14" spans="3:16">
      <c r="L14" s="215">
        <v>1154</v>
      </c>
      <c r="M14" s="161" t="s">
        <v>89</v>
      </c>
      <c r="N14" s="161">
        <v>14.3</v>
      </c>
      <c r="O14" s="161">
        <v>7</v>
      </c>
      <c r="P14" s="199">
        <f ca="1">_xll.PALO.DATAC("jedoxtest/EU_PM_CUBE02","EUPM_Mittel2_Cube",Datenstand,"Alle Beteiligungen","Alle Koordinatoren","Alle Unternehmensgrößen","-2","Alle Organisationstypen",28,"Alle Expertevaluierungsstatus","-2","-2",$L14,"-2","Alle","-2","anzahl_beteiligungen")</f>
        <v>12816</v>
      </c>
    </row>
    <row r="15" spans="3:16">
      <c r="L15" s="215">
        <v>1074</v>
      </c>
      <c r="M15" s="161" t="s">
        <v>90</v>
      </c>
      <c r="N15" s="161">
        <v>16.2</v>
      </c>
      <c r="O15" s="161">
        <v>8</v>
      </c>
      <c r="P15" s="199">
        <f ca="1">_xll.PALO.DATAC("jedoxtest/EU_PM_CUBE02","EUPM_Mittel2_Cube",Datenstand,"Alle Beteiligungen","Alle Koordinatoren","Alle Unternehmensgrößen","-2","Alle Organisationstypen",28,"Alle Expertevaluierungsstatus","-2","-2",$L15,"-2","Alle","-2","anzahl_beteiligungen")</f>
        <v>753</v>
      </c>
    </row>
    <row r="16" spans="3:16">
      <c r="L16" s="215">
        <v>1318</v>
      </c>
      <c r="M16" s="161" t="s">
        <v>91</v>
      </c>
      <c r="N16" s="161">
        <v>22.5</v>
      </c>
      <c r="O16" s="161">
        <v>18</v>
      </c>
      <c r="P16" s="199">
        <f ca="1">_xll.PALO.DATAC("jedoxtest/EU_PM_CUBE02","EUPM_Mittel2_Cube",Datenstand,"Alle Beteiligungen","Alle Koordinatoren","Alle Unternehmensgrößen","-2","Alle Organisationstypen",28,"Alle Expertevaluierungsstatus","-2","-2",$L16,"-2","Alle","-2","anzahl_beteiligungen")</f>
        <v>493</v>
      </c>
    </row>
    <row r="17" spans="12:16">
      <c r="L17" s="215">
        <v>1295</v>
      </c>
      <c r="M17" s="161" t="s">
        <v>92</v>
      </c>
      <c r="N17" s="161">
        <v>21.5</v>
      </c>
      <c r="O17" s="161">
        <v>16.5</v>
      </c>
      <c r="P17" s="199">
        <f ca="1">_xll.PALO.DATAC("jedoxtest/EU_PM_CUBE02","EUPM_Mittel2_Cube",Datenstand,"Alle Beteiligungen","Alle Koordinatoren","Alle Unternehmensgrößen","-2","Alle Organisationstypen",28,"Alle Expertevaluierungsstatus","-2","-2",$L17,"-2","Alle","-2","anzahl_beteiligungen")</f>
        <v>732</v>
      </c>
    </row>
    <row r="18" spans="12:16">
      <c r="L18" s="215">
        <v>1311</v>
      </c>
      <c r="M18" s="161" t="s">
        <v>93</v>
      </c>
      <c r="N18" s="161">
        <v>10.5</v>
      </c>
      <c r="O18" s="161">
        <v>12.4</v>
      </c>
      <c r="P18" s="199">
        <f ca="1">_xll.PALO.DATAC("jedoxtest/EU_PM_CUBE02","EUPM_Mittel2_Cube",Datenstand,"Alle Beteiligungen","Alle Koordinatoren","Alle Unternehmensgrößen","-2","Alle Organisationstypen",28,"Alle Expertevaluierungsstatus","-2","-2",$L18,"-2","Alle","-2","anzahl_beteiligungen")</f>
        <v>633</v>
      </c>
    </row>
    <row r="19" spans="12:16">
      <c r="L19" s="215">
        <v>1341</v>
      </c>
      <c r="M19" s="161" t="s">
        <v>94</v>
      </c>
      <c r="N19" s="161">
        <v>15.7</v>
      </c>
      <c r="O19" s="161">
        <v>1</v>
      </c>
      <c r="P19" s="199">
        <f ca="1">_xll.PALO.DATAC("jedoxtest/EU_PM_CUBE02","EUPM_Mittel2_Cube",Datenstand,"Alle Beteiligungen","Alle Koordinatoren","Alle Unternehmensgrößen","-2","Alle Organisationstypen",28,"Alle Expertevaluierungsstatus","-2","-2",$L19,"-2","Alle","-2","anzahl_beteiligungen")</f>
        <v>281</v>
      </c>
    </row>
    <row r="20" spans="12:16">
      <c r="L20" s="215">
        <v>1349</v>
      </c>
      <c r="M20" s="161" t="s">
        <v>95</v>
      </c>
      <c r="N20" s="161">
        <v>10.1</v>
      </c>
      <c r="O20" s="161">
        <v>14.2</v>
      </c>
      <c r="P20" s="199">
        <f ca="1">_xll.PALO.DATAC("jedoxtest/EU_PM_CUBE02","EUPM_Mittel2_Cube",Datenstand,"Alle Beteiligungen","Alle Koordinatoren","Alle Unternehmensgrößen","-2","Alle Organisationstypen",28,"Alle Expertevaluierungsstatus","-2","-2",$L20,"-2","Alle","-2","anzahl_beteiligungen")</f>
        <v>8546</v>
      </c>
    </row>
    <row r="21" spans="12:16">
      <c r="L21" s="215">
        <v>1</v>
      </c>
      <c r="M21" s="161" t="s">
        <v>19</v>
      </c>
      <c r="N21" s="161">
        <v>15.7</v>
      </c>
      <c r="O21" s="161">
        <v>10.5</v>
      </c>
      <c r="P21" s="199">
        <f ca="1">_xll.PALO.DATAC("jedoxtest/EU_PM_CUBE02","EUPM_Mittel2_Cube",Datenstand,"Alle Beteiligungen","Alle Koordinatoren","Alle Unternehmensgrößen","-2","Alle Organisationstypen",28,"Alle Expertevaluierungsstatus","-2","-2",$L21,"-2","Alle","-2","anzahl_beteiligungen")</f>
        <v>3919</v>
      </c>
    </row>
    <row r="22" spans="12:16">
      <c r="L22" s="215">
        <v>1437</v>
      </c>
      <c r="M22" s="161" t="s">
        <v>96</v>
      </c>
      <c r="N22" s="161">
        <v>19</v>
      </c>
      <c r="O22" s="161">
        <v>14</v>
      </c>
      <c r="P22" s="199">
        <f ca="1">_xll.PALO.DATAC("jedoxtest/EU_PM_CUBE02","EUPM_Mittel2_Cube",Datenstand,"Alle Beteiligungen","Alle Koordinatoren","Alle Unternehmensgrößen","-2","Alle Organisationstypen",28,"Alle Expertevaluierungsstatus","-2","-2",$L22,"-2","Alle","-2","anzahl_beteiligungen")</f>
        <v>2416</v>
      </c>
    </row>
    <row r="23" spans="12:16">
      <c r="L23" s="215">
        <v>1529</v>
      </c>
      <c r="M23" s="161" t="s">
        <v>97</v>
      </c>
      <c r="N23" s="161">
        <v>1.8</v>
      </c>
      <c r="O23" s="161">
        <v>4.5</v>
      </c>
      <c r="P23" s="199">
        <f ca="1">_xll.PALO.DATAC("jedoxtest/EU_PM_CUBE02","EUPM_Mittel2_Cube",Datenstand,"Alle Beteiligungen","Alle Koordinatoren","Alle Unternehmensgrößen","-2","Alle Organisationstypen",28,"Alle Expertevaluierungsstatus","-2","-2",$L23,"-2","Alle","-2","anzahl_beteiligungen")</f>
        <v>3895</v>
      </c>
    </row>
    <row r="24" spans="12:16">
      <c r="L24" s="215">
        <v>1573</v>
      </c>
      <c r="M24" s="161" t="s">
        <v>98</v>
      </c>
      <c r="N24" s="161">
        <v>22</v>
      </c>
      <c r="O24" s="161">
        <v>9.3000000000000007</v>
      </c>
      <c r="P24" s="199">
        <f ca="1">_xll.PALO.DATAC("jedoxtest/EU_PM_CUBE02","EUPM_Mittel2_Cube",Datenstand,"Alle Beteiligungen","Alle Koordinatoren","Alle Unternehmensgrößen","-2","Alle Organisationstypen",28,"Alle Expertevaluierungsstatus","-2","-2",$L24,"-2","Alle","-2","anzahl_beteiligungen")</f>
        <v>1428</v>
      </c>
    </row>
    <row r="25" spans="12:16">
      <c r="L25" s="215">
        <v>1631</v>
      </c>
      <c r="M25" s="161" t="s">
        <v>99</v>
      </c>
      <c r="N25" s="161">
        <v>16</v>
      </c>
      <c r="O25" s="161">
        <v>22</v>
      </c>
      <c r="P25" s="199">
        <f ca="1">_xll.PALO.DATAC("jedoxtest/EU_PM_CUBE02","EUPM_Mittel2_Cube",Datenstand,"Alle Beteiligungen","Alle Koordinatoren","Alle Unternehmensgrößen","-2","Alle Organisationstypen",28,"Alle Expertevaluierungsstatus","-2","-2",$L25,"-2","Alle","-2","anzahl_beteiligungen")</f>
        <v>3893</v>
      </c>
    </row>
    <row r="26" spans="12:16">
      <c r="L26" s="215">
        <v>1686</v>
      </c>
      <c r="M26" s="161" t="s">
        <v>100</v>
      </c>
      <c r="N26" s="161">
        <v>19</v>
      </c>
      <c r="O26" s="161">
        <v>11.5</v>
      </c>
      <c r="P26" s="199">
        <f ca="1">_xll.PALO.DATAC("jedoxtest/EU_PM_CUBE02","EUPM_Mittel2_Cube",Datenstand,"Alle Beteiligungen","Alle Koordinatoren","Alle Unternehmensgrößen","-2","Alle Organisationstypen",28,"Alle Expertevaluierungsstatus","-2","-2",$L26,"-2","Alle","-2","anzahl_beteiligungen")</f>
        <v>591</v>
      </c>
    </row>
    <row r="27" spans="12:16">
      <c r="L27" s="215">
        <v>1667</v>
      </c>
      <c r="M27" s="161" t="s">
        <v>101</v>
      </c>
      <c r="N27" s="161">
        <v>15.8</v>
      </c>
      <c r="O27" s="161">
        <v>9.4</v>
      </c>
      <c r="P27" s="199">
        <f ca="1">_xll.PALO.DATAC("jedoxtest/EU_PM_CUBE02","EUPM_Mittel2_Cube",Datenstand,"Alle Beteiligungen","Alle Koordinatoren","Alle Unternehmensgrößen","-2","Alle Organisationstypen",28,"Alle Expertevaluierungsstatus","-2","-2",$L27,"-2","Alle","-2","anzahl_beteiligungen")</f>
        <v>1417</v>
      </c>
    </row>
    <row r="28" spans="12:16">
      <c r="L28" s="215">
        <v>815</v>
      </c>
      <c r="M28" s="161" t="s">
        <v>102</v>
      </c>
      <c r="N28" s="161">
        <v>4.5</v>
      </c>
      <c r="O28" s="161">
        <v>4.5</v>
      </c>
      <c r="P28" s="199">
        <f ca="1">_xll.PALO.DATAC("jedoxtest/EU_PM_CUBE02","EUPM_Mittel2_Cube",Datenstand,"Alle Beteiligungen","Alle Koordinatoren","Alle Unternehmensgrößen","-2","Alle Organisationstypen",28,"Alle Expertevaluierungsstatus","-2","-2",$L28,"-2","Alle","-2","anzahl_beteiligungen")</f>
        <v>15024</v>
      </c>
    </row>
    <row r="29" spans="12:16">
      <c r="L29" s="215">
        <v>196</v>
      </c>
      <c r="M29" s="161" t="s">
        <v>103</v>
      </c>
      <c r="N29" s="161">
        <v>15.8</v>
      </c>
      <c r="O29" s="161">
        <v>12.5</v>
      </c>
      <c r="P29" s="199">
        <f ca="1">_xll.PALO.DATAC("jedoxtest/EU_PM_CUBE02","EUPM_Mittel2_Cube",Datenstand,"Alle Beteiligungen","Alle Koordinatoren","Alle Unternehmensgrößen","-2","Alle Organisationstypen",28,"Alle Expertevaluierungsstatus","-2","-2",$L29,"-2","Alle","-2","anzahl_beteiligungen")</f>
        <v>1896</v>
      </c>
    </row>
    <row r="30" spans="12:16">
      <c r="L30" s="215">
        <v>1100</v>
      </c>
      <c r="M30" s="161" t="s">
        <v>104</v>
      </c>
      <c r="N30" s="161">
        <v>18.5</v>
      </c>
      <c r="O30" s="161">
        <v>10</v>
      </c>
      <c r="P30" s="199">
        <f ca="1">_xll.PALO.DATAC("jedoxtest/EU_PM_CUBE02","EUPM_Mittel2_Cube",Datenstand,"Alle Beteiligungen","Alle Koordinatoren","Alle Unternehmensgrößen","-2","Alle Organisationstypen",28,"Alle Expertevaluierungsstatus","-2","-2",$L30,"-2","Alle","-2","anzahl_beteiligungen")</f>
        <v>1089</v>
      </c>
    </row>
    <row r="31" spans="12:16">
      <c r="L31" s="215">
        <v>189</v>
      </c>
      <c r="M31" s="161" t="s">
        <v>105</v>
      </c>
      <c r="N31" s="161">
        <v>27.1</v>
      </c>
      <c r="O31" s="161">
        <v>0.6</v>
      </c>
      <c r="P31" s="199">
        <f ca="1">_xll.PALO.DATAC("jedoxtest/EU_PM_CUBE02","EUPM_Mittel2_Cube",Datenstand,"Alle Beteiligungen","Alle Koordinatoren","Alle Unternehmensgrößen","-2","Alle Organisationstypen",28,"Alle Expertevaluierungsstatus","-2","-2",$L31,"-2","Alle","-2","anzahl_beteiligungen")</f>
        <v>1204</v>
      </c>
    </row>
    <row r="34" spans="2:9" ht="28.5" customHeight="1"/>
    <row r="35" spans="2:9" ht="28.5" customHeight="1"/>
    <row r="36" spans="2:9" ht="28.5" customHeight="1"/>
    <row r="39" spans="2:9" ht="24.75" customHeight="1">
      <c r="C39" s="216" t="str">
        <f ca="1">"Eckdaten für Staatengruppen in "&amp;_xll.PALO.DATA("jedoxtest/EU_PM_CUBE02","#_Datenstand","frameworkprog_long",Datenstand)</f>
        <v>Eckdaten für Staatengruppen in Horizon Europe</v>
      </c>
      <c r="D39" s="217"/>
      <c r="E39" s="217"/>
      <c r="F39" s="217"/>
      <c r="G39" s="217"/>
      <c r="H39" s="218"/>
      <c r="I39" s="218"/>
    </row>
    <row r="40" spans="2:9" ht="9.9499999999999993" customHeight="1"/>
    <row r="41" spans="2:9" ht="9.9499999999999993" customHeight="1"/>
    <row r="42" spans="2:9" ht="43.5" customHeight="1">
      <c r="C42" s="118"/>
      <c r="D42" s="262" t="s">
        <v>274</v>
      </c>
      <c r="E42" s="262" t="str">
        <f>UPPER("Anteil an Gesamt")</f>
        <v>ANTEIL AN GESAMT</v>
      </c>
      <c r="F42" s="262" t="s">
        <v>2</v>
      </c>
      <c r="G42" s="262" t="str">
        <f>UPPER("Anteil an Gesamt")</f>
        <v>ANTEIL AN GESAMT</v>
      </c>
      <c r="H42" s="262" t="s">
        <v>275</v>
      </c>
      <c r="I42" s="262" t="str">
        <f>UPPER("Anteil an Gesamt")</f>
        <v>ANTEIL AN GESAMT</v>
      </c>
    </row>
    <row r="43" spans="2:9" ht="16.5" customHeight="1">
      <c r="B43" s="161">
        <v>-2</v>
      </c>
      <c r="C43" s="263" t="str">
        <f ca="1">_xll.PALO.DATAC("jedoxtest/EU_PM_CUBE02","#_Staatengruppen_und_NUTS","Bezeichnung",B43)</f>
        <v>Alle Staaten</v>
      </c>
      <c r="D43" s="259">
        <f ca="1">_xll.PALO.DATAC("jedoxtest/EU_PM_CUBE02","EUPM_Mittel2_Cube",Datenstand,"Alle Beteiligungen","Alle Koordinatoren","Alle Unternehmensgrößen","-2","Alle Organisationstypen",28,"Alle Expertevaluierungsstatus","-2","-2",$B43,"-2","Alle","-2","anzahl_beteiligungen")</f>
        <v>137401</v>
      </c>
      <c r="E43" s="264">
        <f ca="1">D43/$D$43</f>
        <v>1</v>
      </c>
      <c r="F43" s="265">
        <f ca="1">_xll.PALO.DATAC("jedoxtest/EU_PM_CUBE02","EUPM_Mittel2_Cube",Datenstand,"Alle Beteiligungen","Alle Koordinatoren","Alle Unternehmensgrößen","-2","Alle Organisationstypen",28,"Alle Expertevaluierungsstatus","-2","-2",$B43,"-2","Alle","-2","foerderung")/1000000</f>
        <v>58295.985379557402</v>
      </c>
      <c r="G43" s="264">
        <f ca="1">F43/$F$43</f>
        <v>1</v>
      </c>
      <c r="H43" s="259">
        <f ca="1">_xll.PALO.DATAC("jedoxtest/EU_PM_CUBE02","EUPM_Mittel2_Cube",Datenstand,"Alle Beteiligungen","Alle Koordinatoren","Alle Unternehmensgrößen","-2","Alle Organisationstypen",28,"Alle Expertevaluierungsstatus","-2","-2",$B43,"-2","Alle","-2","anzahl_koordinatoren")</f>
        <v>23372</v>
      </c>
      <c r="I43" s="264">
        <f ca="1">H43/$H$43</f>
        <v>1</v>
      </c>
    </row>
    <row r="44" spans="2:9" ht="17.100000000000001" customHeight="1">
      <c r="B44" s="161">
        <v>1000001</v>
      </c>
      <c r="C44" s="286" t="s">
        <v>167</v>
      </c>
      <c r="D44" s="274">
        <f ca="1">_xll.PALO.DATAC("jedoxtest/EU_PM_CUBE02","EUPM_Mittel2_Cube",Datenstand,"Alle Beteiligungen","Alle Koordinatoren","Alle Unternehmensgrößen","-2","Alle Organisationstypen",28,"Alle Expertevaluierungsstatus","-2","-2",$B44,"-2","Alle","-2","anzahl_beteiligungen")</f>
        <v>113028</v>
      </c>
      <c r="E44" s="287">
        <f ca="1">D44/$D$43</f>
        <v>0.82261410033405868</v>
      </c>
      <c r="F44" s="288">
        <f ca="1">_xll.PALO.DATAC("jedoxtest/EU_PM_CUBE02","EUPM_Mittel2_Cube",Datenstand,"Alle Beteiligungen","Alle Koordinatoren","Alle Unternehmensgrößen","-2","Alle Organisationstypen",28,"Alle Expertevaluierungsstatus","-2","-2",$B44,"-2","Alle","-2","foerderung")/1000000</f>
        <v>51597.038472098</v>
      </c>
      <c r="G44" s="287">
        <f ca="1">F44/$F$43</f>
        <v>0.88508733725241195</v>
      </c>
      <c r="H44" s="274">
        <f ca="1">_xll.PALO.DATAC("jedoxtest/EU_PM_CUBE02","EUPM_Mittel2_Cube",Datenstand,"Alle Beteiligungen","Alle Koordinatoren","Alle Unternehmensgrößen","-2","Alle Organisationstypen",28,"Alle Expertevaluierungsstatus","-2","-2",$B44,"-2","Alle","-2","anzahl_koordinatoren")</f>
        <v>20138</v>
      </c>
      <c r="I44" s="287">
        <f ca="1">H44/$H$43</f>
        <v>0.86162930001711446</v>
      </c>
    </row>
    <row r="45" spans="2:9" ht="17.100000000000001" customHeight="1">
      <c r="B45" s="429">
        <v>1000051</v>
      </c>
      <c r="C45" s="430" t="str">
        <f ca="1">_xll.PALO.DATAC("jedoxtest/EU_PM_CUBE02","#_Staatengruppen_und_NUTS","Bezeichnung",B45)</f>
        <v>Assoziierte Staaten</v>
      </c>
      <c r="D45" s="274">
        <f ca="1">Assoziierte_Bet_€!M9</f>
        <v>19132</v>
      </c>
      <c r="E45" s="431">
        <f ca="1">D45/$D$43</f>
        <v>0.13924207247399947</v>
      </c>
      <c r="F45" s="432">
        <f ca="1">Assoziierte_Bet_€!N9/1000000</f>
        <v>5964.3213296900112</v>
      </c>
      <c r="G45" s="431">
        <f ca="1">F45/$F$43</f>
        <v>0.10231101320025913</v>
      </c>
      <c r="H45" s="162">
        <f ca="1">Assoziierte_Bet_€!O9</f>
        <v>3206</v>
      </c>
      <c r="I45" s="431">
        <f ca="1">H45/$H$43</f>
        <v>0.13717268526441898</v>
      </c>
    </row>
    <row r="46" spans="2:9" ht="17.100000000000001" customHeight="1">
      <c r="B46" s="429">
        <v>1000050</v>
      </c>
      <c r="C46" s="289" t="str">
        <f ca="1">_xll.PALO.DATAC("jedoxtest/EU_PM_CUBE02","#_Staatengruppen_und_NUTS","Bezeichnung",B46)</f>
        <v>Drittstaaten</v>
      </c>
      <c r="D46" s="304">
        <f ca="1">D43-D44-D45</f>
        <v>5241</v>
      </c>
      <c r="E46" s="290">
        <f ca="1">D46/$D$43</f>
        <v>3.8143827191941836E-2</v>
      </c>
      <c r="F46" s="472">
        <f ca="1">F43-F44-F45</f>
        <v>734.62557776939047</v>
      </c>
      <c r="G46" s="290">
        <f ca="1">F46/$F$43</f>
        <v>1.260164954732888E-2</v>
      </c>
      <c r="H46" s="122">
        <f ca="1">H43-H44-H45</f>
        <v>28</v>
      </c>
      <c r="I46" s="154">
        <f ca="1">IFERROR(H46/$H$43,"-")</f>
        <v>1.1980147184665411E-3</v>
      </c>
    </row>
    <row r="47" spans="2:9" ht="15" customHeight="1">
      <c r="G47" s="43"/>
      <c r="H47" s="70"/>
      <c r="I47" s="70"/>
    </row>
    <row r="48" spans="2:9">
      <c r="H48" s="705" t="str">
        <f ca="1">"Quelle: EC "&amp;_xll.PALO.DATA("jedoxtest/EU_PM_CUBE02","#_Datenstand","reference_month",Datenstand)&amp;"/"&amp;_xll.PALO.DATA("jedoxtest/EU_PM_CUBE02","#_Datenstand","reference_year",Datenstand)&amp;"; Darstellung FFG"</f>
        <v>Quelle: EC 5/2026; Darstellung FFG</v>
      </c>
      <c r="I48" s="706"/>
    </row>
    <row r="51" spans="2:3">
      <c r="B51" s="161" t="s">
        <v>191</v>
      </c>
      <c r="C51" s="161" t="str">
        <f ca="1">_xll.PALO.ENAME("jedoxtest/EU_PM_CUBE02","Datenstand",3)</f>
        <v>117</v>
      </c>
    </row>
  </sheetData>
  <mergeCells count="1">
    <mergeCell ref="H48:I48"/>
  </mergeCells>
  <pageMargins left="0.70866141732283472" right="0.70866141732283472" top="0.74803149606299213" bottom="0.74803149606299213" header="0.31496062992125984" footer="0.31496062992125984"/>
  <pageSetup paperSize="9" scale="74"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92D050"/>
  </sheetPr>
  <dimension ref="A1:S46"/>
  <sheetViews>
    <sheetView zoomScaleNormal="100" workbookViewId="0">
      <selection activeCell="C4" sqref="C4"/>
    </sheetView>
  </sheetViews>
  <sheetFormatPr baseColWidth="10" defaultColWidth="11.42578125" defaultRowHeight="15"/>
  <cols>
    <col min="1" max="1" width="4.140625" style="17" customWidth="1"/>
    <col min="2" max="2" width="11.140625" style="17" customWidth="1"/>
    <col min="3" max="3" width="33.42578125" style="17" customWidth="1"/>
    <col min="4" max="4" width="28.140625" style="17" customWidth="1"/>
    <col min="5" max="7" width="11.42578125" style="18"/>
    <col min="8" max="8" width="11.5703125" style="18" bestFit="1" customWidth="1"/>
    <col min="9" max="9" width="12" style="18" bestFit="1" customWidth="1"/>
    <col min="10" max="10" width="11.5703125" style="18" bestFit="1" customWidth="1"/>
    <col min="11" max="11" width="11.7109375" style="18" bestFit="1" customWidth="1"/>
    <col min="12" max="12" width="12.5703125" style="18" bestFit="1" customWidth="1"/>
    <col min="13" max="13" width="15.140625" style="17" customWidth="1"/>
    <col min="14" max="14" width="11.5703125" style="17" bestFit="1" customWidth="1"/>
    <col min="15" max="16384" width="11.42578125" style="17"/>
  </cols>
  <sheetData>
    <row r="1" spans="1:16" ht="15" customHeight="1"/>
    <row r="2" spans="1:16" ht="15" customHeight="1"/>
    <row r="3" spans="1:16" ht="15" customHeight="1"/>
    <row r="4" spans="1:16" ht="72" customHeight="1">
      <c r="A4" s="17" t="s">
        <v>43</v>
      </c>
      <c r="B4" s="316" t="str">
        <f ca="1">_xll.PALO.ENAME("jedoxtest/EU_PM_CUBE02","Datenstand",3)</f>
        <v>117</v>
      </c>
      <c r="C4" s="266"/>
      <c r="F4"/>
    </row>
    <row r="5" spans="1:16">
      <c r="B5" s="17" t="str">
        <f ca="1">_xll.PALO.DATA("jedoxtest/EU_PM_CUBE02","#_Datenstand","reference_day",$B$4)&amp;"."&amp;_xll.PALO.DATA("jedoxtest/EU_PM_CUBE02","#_Datenstand","reference_month",$B$4)&amp;"."&amp;_xll.PALO.DATA("jedoxtest/EU_PM_CUBE02","#_Datenstand","reference_year",$B$4)</f>
        <v>19.5.2026</v>
      </c>
      <c r="F5"/>
    </row>
    <row r="6" spans="1:16" ht="15" customHeight="1">
      <c r="F6"/>
    </row>
    <row r="7" spans="1:16" ht="15" customHeight="1">
      <c r="K7" s="17"/>
    </row>
    <row r="8" spans="1:16" ht="39" customHeight="1">
      <c r="B8" s="273" t="str">
        <f>UPPER("Auf einen Blick")</f>
        <v>AUF EINEN BLICK</v>
      </c>
      <c r="C8" s="160"/>
      <c r="H8"/>
      <c r="I8" s="317">
        <f ca="1">_xll.PALO.DATAC("jedoxtest/EU_PM_CUBE02","EUPM_Mittel2_Cube",$B$4,"Alle Beteiligungen","Alle Koordinatoren","Alle Unternehmensgrößen","-2","Alle Organisationstypen",28,"Alle Expertevaluierungsstatus","-2","-2","-2","-2","Alle","-2","foerderung")</f>
        <v>58295985379.557404</v>
      </c>
      <c r="J8" s="317">
        <f ca="1">_xll.PALO.DATAC("jedoxtest/EU_PM_CUBE02","EUPM_Mittel2_Cube",$B$4,"Alle Beteiligungen","Alle Koordinatoren","Alle Unternehmensgrößen","-2","Alle Organisationstypen",28,"Alle Expertevaluierungsstatus","-2","-2","-2","-2","Alle","-2","anzahl_koordinatoren")</f>
        <v>23372</v>
      </c>
      <c r="K8" s="17"/>
    </row>
    <row r="9" spans="1:16" ht="24.75" customHeight="1">
      <c r="C9" s="19"/>
      <c r="H9"/>
      <c r="I9" s="317">
        <f ca="1">$I$8/1000000000</f>
        <v>58.295985379557401</v>
      </c>
      <c r="J9" s="526"/>
    </row>
    <row r="10" spans="1:16" ht="24.75" customHeight="1">
      <c r="A10" s="20"/>
      <c r="B10" s="20"/>
      <c r="C10" s="20"/>
      <c r="D10" s="20"/>
      <c r="H10"/>
      <c r="I10"/>
      <c r="J10"/>
    </row>
    <row r="11" spans="1:16" s="18" customFormat="1" ht="27.75" customHeight="1">
      <c r="A11" s="20"/>
      <c r="B11" s="342" t="s">
        <v>128</v>
      </c>
      <c r="C11" s="32"/>
      <c r="D11" s="20"/>
      <c r="H11"/>
      <c r="I11"/>
      <c r="J11"/>
      <c r="M11" s="17"/>
      <c r="N11" s="17"/>
    </row>
    <row r="12" spans="1:16" s="18" customFormat="1" ht="29.25" customHeight="1">
      <c r="A12" s="20"/>
      <c r="B12" s="343" t="str">
        <f ca="1">TEXT(I12,"#.###.000.000")&amp;" €"</f>
        <v>1.856.201.567 €</v>
      </c>
      <c r="C12" s="254"/>
      <c r="D12" s="20"/>
      <c r="H12"/>
      <c r="I12" s="317">
        <f ca="1">_xll.PALO.DATAC("jedoxtest/EU_PM_CUBE02","EUPM_Mittel2_Cube",$B$4,"Alle Beteiligungen","Alle Koordinatoren","Alle Unternehmensgrößen","-2","Alle Organisationstypen",28,"Alle Expertevaluierungsstatus","-2","-2",1,"-2","Alle","-2","foerderung")</f>
        <v>1856201567.4500101</v>
      </c>
      <c r="J12"/>
      <c r="M12" s="17"/>
      <c r="N12" s="17"/>
    </row>
    <row r="13" spans="1:16" s="18" customFormat="1" ht="18.75" customHeight="1">
      <c r="A13" s="20"/>
      <c r="B13" s="319"/>
      <c r="C13" s="254"/>
      <c r="D13" s="20"/>
      <c r="H13"/>
      <c r="I13" s="317">
        <f ca="1">$I$12/$I$8</f>
        <v>3.1840984509731309E-2</v>
      </c>
      <c r="J13"/>
      <c r="M13" s="17"/>
      <c r="N13" s="17"/>
    </row>
    <row r="14" spans="1:16" ht="48" customHeight="1">
      <c r="A14" s="20"/>
      <c r="B14" s="697" t="str">
        <f ca="1">"Insgesamt wurden bisher in Horizon Europe "&amp;TEXT($I$9,"#,00")&amp;" Mrd. Euro an Förderung vergeben. Österreich konnte davon "&amp;TEXT($I$13,"#,0%")&amp;" einwerben."</f>
        <v>Insgesamt wurden bisher in Horizon Europe 58,30 Mrd. Euro an Förderung vergeben. Österreich konnte davon 3,2% einwerben.</v>
      </c>
      <c r="C14" s="697"/>
      <c r="D14" s="697"/>
      <c r="E14" s="697"/>
      <c r="M14" s="17" t="s">
        <v>134</v>
      </c>
      <c r="N14" s="17" t="s">
        <v>129</v>
      </c>
      <c r="O14" s="17" t="s">
        <v>29</v>
      </c>
    </row>
    <row r="15" spans="1:16" ht="18.75">
      <c r="A15" s="20"/>
      <c r="B15" s="159" t="str">
        <f>N39</f>
        <v>Förderung für Österreich nach Säulen</v>
      </c>
      <c r="C15" s="32"/>
      <c r="D15" s="20"/>
      <c r="K15">
        <v>3</v>
      </c>
      <c r="L15" s="18" t="str">
        <f ca="1">_xll.PALO.DATAC("Jedoxtest/EU_PM_CUBE02","#_Staatengruppen_und_NUTS","Langbezeichnung",$K15)</f>
        <v>Burgenland</v>
      </c>
      <c r="M15" s="308">
        <f ca="1">_xll.PALO.DATAC("Jedoxtest/EU_PM_CUBE02","EUPM_Mittel2_Cube",$B$4,"Alle Beteiligungen","Alle Koordinatoren","Alle Unternehmensgrößen","-2","Alle Organisationstypen",28,"Alle Expertevaluierungsstatus","-2","-2",$K15,"-2","Alle","-2","foerderung")</f>
        <v>3218286.51</v>
      </c>
      <c r="N15" s="309">
        <f ca="1">_xlfn.RANK.EQ(M15,$M$15:$M$24)</f>
        <v>9</v>
      </c>
      <c r="O15" s="17">
        <v>1</v>
      </c>
      <c r="P15" s="17" t="str">
        <f ca="1">INDEX($L$15:$L$24,MATCH(O15,$N$15:$N$24,0))</f>
        <v>Österreich</v>
      </c>
    </row>
    <row r="16" spans="1:16" ht="55.5" customHeight="1">
      <c r="A16" s="20"/>
      <c r="B16" s="270"/>
      <c r="C16" s="32"/>
      <c r="D16" s="20"/>
      <c r="K16">
        <v>18</v>
      </c>
      <c r="L16" s="18" t="str">
        <f ca="1">_xll.PALO.DATAC("Jedoxtest/EU_PM_CUBE02","#_Staatengruppen_und_NUTS","Langbezeichnung",$K16)</f>
        <v>Kärnten</v>
      </c>
      <c r="M16" s="308">
        <f ca="1">_xll.PALO.DATAC("Jedoxtest/EU_PM_CUBE02","EUPM_Mittel2_Cube",$B$4,"Alle Beteiligungen","Alle Koordinatoren","Alle Unternehmensgrößen","-2","Alle Organisationstypen",28,"Alle Expertevaluierungsstatus","-2","-2",$K16,"-2","Alle","-2","foerderung")</f>
        <v>46475940.759999998</v>
      </c>
      <c r="N16" s="309">
        <f t="shared" ref="N16:N24" ca="1" si="0">_xlfn.RANK.EQ(M16,$M$15:$M$24)</f>
        <v>7</v>
      </c>
      <c r="O16" s="17">
        <v>2</v>
      </c>
      <c r="P16" s="17" t="str">
        <f t="shared" ref="P16:P24" ca="1" si="1">INDEX($L$15:$L$24,MATCH(O16,$N$15:$N$24,0))</f>
        <v>Wien</v>
      </c>
    </row>
    <row r="17" spans="1:16" ht="123" customHeight="1">
      <c r="A17" s="20"/>
      <c r="B17" s="270"/>
      <c r="C17" s="32"/>
      <c r="D17" s="20"/>
      <c r="K17">
        <v>7</v>
      </c>
      <c r="L17" s="18" t="str">
        <f ca="1">_xll.PALO.DATAC("Jedoxtest/EU_PM_CUBE02","#_Staatengruppen_und_NUTS","Langbezeichnung",$K17)</f>
        <v>Niederösterreich</v>
      </c>
      <c r="M17" s="308">
        <f ca="1">_xll.PALO.DATAC("Jedoxtest/EU_PM_CUBE02","EUPM_Mittel2_Cube",$B$4,"Alle Beteiligungen","Alle Koordinatoren","Alle Unternehmensgrößen","-2","Alle Organisationstypen",28,"Alle Expertevaluierungsstatus","-2","-2",$K17,"-2","Alle","-2","foerderung")</f>
        <v>189109415.31</v>
      </c>
      <c r="N17" s="309">
        <f t="shared" ca="1" si="0"/>
        <v>4</v>
      </c>
      <c r="O17" s="17">
        <v>3</v>
      </c>
      <c r="P17" s="17" t="str">
        <f t="shared" ca="1" si="1"/>
        <v>Steiermark</v>
      </c>
    </row>
    <row r="18" spans="1:16">
      <c r="A18" s="20"/>
      <c r="B18" s="20"/>
      <c r="C18" s="319"/>
      <c r="D18" s="20"/>
      <c r="K18">
        <v>30</v>
      </c>
      <c r="L18" s="18" t="str">
        <f ca="1">_xll.PALO.DATAC("Jedoxtest/EU_PM_CUBE02","#_Staatengruppen_und_NUTS","Langbezeichnung",$K18)</f>
        <v>Oberösterreich</v>
      </c>
      <c r="M18" s="308">
        <f ca="1">_xll.PALO.DATAC("Jedoxtest/EU_PM_CUBE02","EUPM_Mittel2_Cube",$B$4,"Alle Beteiligungen","Alle Koordinatoren","Alle Unternehmensgrößen","-2","Alle Organisationstypen",28,"Alle Expertevaluierungsstatus","-2","-2",$K18,"-2","Alle","-2","foerderung")</f>
        <v>105567125.48999999</v>
      </c>
      <c r="N18" s="309">
        <f t="shared" ca="1" si="0"/>
        <v>5</v>
      </c>
      <c r="O18" s="17">
        <v>4</v>
      </c>
      <c r="P18" s="17" t="str">
        <f t="shared" ca="1" si="1"/>
        <v>Niederösterreich</v>
      </c>
    </row>
    <row r="19" spans="1:16" ht="23.25">
      <c r="A19" s="20"/>
      <c r="B19" s="269"/>
      <c r="C19" s="256"/>
      <c r="D19" s="20"/>
      <c r="E19" s="320"/>
      <c r="H19" s="317">
        <f ca="1">_xll.PALO.DATAC("jedoxtest/EU_PM_CUBE02","EUPM_Mittel2_Projekt_Cube",$B$4,1,"-2",28,"Alle Beteiligungen","Alle Koordinatoren","Alle Expertevaluierungsstatus","-2",-2,"Alle","-2","anzahl_projekte")</f>
        <v>2517</v>
      </c>
      <c r="I19" s="267">
        <f ca="1">ROUNDDOWN(H19,-2)</f>
        <v>2500</v>
      </c>
      <c r="J19" s="318">
        <f ca="1">1/($H$19/$J$8)</f>
        <v>9.2856575288041316</v>
      </c>
      <c r="K19">
        <v>36</v>
      </c>
      <c r="L19" s="18" t="str">
        <f ca="1">_xll.PALO.DATAC("Jedoxtest/EU_PM_CUBE02","#_Staatengruppen_und_NUTS","Langbezeichnung",$K19)</f>
        <v>Salzburg</v>
      </c>
      <c r="M19" s="308">
        <f ca="1">_xll.PALO.DATAC("Jedoxtest/EU_PM_CUBE02","EUPM_Mittel2_Cube",$B$4,"Alle Beteiligungen","Alle Koordinatoren","Alle Unternehmensgrößen","-2","Alle Organisationstypen",28,"Alle Expertevaluierungsstatus","-2","-2",$K19,"-2","Alle","-2","foerderung")</f>
        <v>31207881.66</v>
      </c>
      <c r="N19" s="309">
        <f t="shared" ca="1" si="0"/>
        <v>8</v>
      </c>
      <c r="O19" s="17">
        <v>5</v>
      </c>
      <c r="P19" s="17" t="str">
        <f t="shared" ca="1" si="1"/>
        <v>Oberösterreich</v>
      </c>
    </row>
    <row r="20" spans="1:16" ht="18.600000000000001" customHeight="1">
      <c r="A20" s="20"/>
      <c r="B20" s="434"/>
      <c r="C20" s="651" t="str">
        <f ca="1">TEXT($H$19,"##.#00")&amp;" Projekte mit österreichischer Beteiligung in Horizon Europe"</f>
        <v>2.517 Projekte mit österreichischer Beteiligung in Horizon Europe</v>
      </c>
      <c r="D20" s="651"/>
      <c r="E20" s="651"/>
      <c r="K20">
        <v>22</v>
      </c>
      <c r="L20" s="18" t="str">
        <f ca="1">_xll.PALO.DATAC("Jedoxtest/EU_PM_CUBE02","#_Staatengruppen_und_NUTS","Langbezeichnung",$K20)</f>
        <v>Steiermark</v>
      </c>
      <c r="M20" s="308">
        <f ca="1">_xll.PALO.DATAC("Jedoxtest/EU_PM_CUBE02","EUPM_Mittel2_Cube",$B$4,"Alle Beteiligungen","Alle Koordinatoren","Alle Unternehmensgrößen","-2","Alle Organisationstypen",28,"Alle Expertevaluierungsstatus","-2","-2",$K20,"-2","Alle","-2","foerderung")</f>
        <v>386905170.31999999</v>
      </c>
      <c r="N20" s="309">
        <f t="shared" ca="1" si="0"/>
        <v>3</v>
      </c>
      <c r="O20" s="17">
        <v>6</v>
      </c>
      <c r="P20" s="17" t="str">
        <f t="shared" ca="1" si="1"/>
        <v>Tirol</v>
      </c>
    </row>
    <row r="21" spans="1:16">
      <c r="A21" s="20"/>
      <c r="B21" s="25"/>
      <c r="C21" t="str">
        <f ca="1">"Österreich ist in Horizon Europe in "&amp;TEXT($H$19,"#.#00")&amp;" Projekten involviert."</f>
        <v>Österreich ist in Horizon Europe in 2.517 Projekten involviert.</v>
      </c>
      <c r="D21"/>
      <c r="E21"/>
      <c r="K21">
        <v>40</v>
      </c>
      <c r="L21" s="18" t="str">
        <f ca="1">_xll.PALO.DATAC("Jedoxtest/EU_PM_CUBE02","#_Staatengruppen_und_NUTS","Langbezeichnung",$K21)</f>
        <v>Tirol</v>
      </c>
      <c r="M21" s="308">
        <f ca="1">_xll.PALO.DATAC("Jedoxtest/EU_PM_CUBE02","EUPM_Mittel2_Cube",$B$4,"Alle Beteiligungen","Alle Koordinatoren","Alle Unternehmensgrößen","-2","Alle Organisationstypen",28,"Alle Expertevaluierungsstatus","-2","-2",$K21,"-2","Alle","-2","foerderung")</f>
        <v>89160279.980000004</v>
      </c>
      <c r="N21" s="309">
        <f t="shared" ca="1" si="0"/>
        <v>6</v>
      </c>
      <c r="O21" s="17">
        <v>7</v>
      </c>
      <c r="P21" s="17" t="str">
        <f t="shared" ca="1" si="1"/>
        <v>Kärnten</v>
      </c>
    </row>
    <row r="22" spans="1:16" ht="23.25">
      <c r="A22" s="20"/>
      <c r="B22" s="655"/>
      <c r="C22" s="652" t="s">
        <v>421</v>
      </c>
      <c r="D22"/>
      <c r="E22"/>
      <c r="K22">
        <v>46</v>
      </c>
      <c r="L22" s="18" t="str">
        <f ca="1">_xll.PALO.DATAC("Jedoxtest/EU_PM_CUBE02","#_Staatengruppen_und_NUTS","Langbezeichnung",$K22)</f>
        <v>Vorarlberg</v>
      </c>
      <c r="M22" s="308">
        <f ca="1">_xll.PALO.DATAC("Jedoxtest/EU_PM_CUBE02","EUPM_Mittel2_Cube",$B$4,"Alle Beteiligungen","Alle Koordinatoren","Alle Unternehmensgrößen","-2","Alle Organisationstypen",28,"Alle Expertevaluierungsstatus","-2","-2",$K22,"-2","Alle","-2","foerderung")</f>
        <v>2424344.13</v>
      </c>
      <c r="N22" s="309">
        <f t="shared" ca="1" si="0"/>
        <v>10</v>
      </c>
      <c r="O22" s="17">
        <v>8</v>
      </c>
      <c r="P22" s="17" t="str">
        <f t="shared" ca="1" si="1"/>
        <v>Salzburg</v>
      </c>
    </row>
    <row r="23" spans="1:16" ht="21">
      <c r="A23" s="20"/>
      <c r="B23" s="648" t="str">
        <f ca="1">TEXT($H$26,"#.000")</f>
        <v>3.919</v>
      </c>
      <c r="C23" s="649" t="s">
        <v>350</v>
      </c>
      <c r="D23" s="649"/>
      <c r="E23" s="463"/>
      <c r="K23">
        <v>15</v>
      </c>
      <c r="L23" s="18" t="str">
        <f ca="1">_xll.PALO.DATAC("Jedoxtest/EU_PM_CUBE02","#_Staatengruppen_und_NUTS","Langbezeichnung",$K23)</f>
        <v>Wien</v>
      </c>
      <c r="M23" s="308">
        <f ca="1">_xll.PALO.DATAC("Jedoxtest/EU_PM_CUBE02","EUPM_Mittel2_Cube",$B$4,"Alle Beteiligungen","Alle Koordinatoren","Alle Unternehmensgrößen","-2","Alle Organisationstypen",28,"Alle Expertevaluierungsstatus","-2","-2",$K23,"-2","Alle","-2","foerderung")</f>
        <v>1002133123.29</v>
      </c>
      <c r="N23" s="309">
        <f t="shared" ca="1" si="0"/>
        <v>2</v>
      </c>
      <c r="O23" s="17">
        <v>9</v>
      </c>
      <c r="P23" s="17" t="str">
        <f t="shared" ca="1" si="1"/>
        <v>Burgenland</v>
      </c>
    </row>
    <row r="24" spans="1:16" ht="21">
      <c r="A24" s="20"/>
      <c r="B24" s="650">
        <f ca="1">$J$26</f>
        <v>2.8522354276897546E-2</v>
      </c>
      <c r="C24" s="649" t="s">
        <v>352</v>
      </c>
      <c r="D24" s="649"/>
      <c r="E24" s="463"/>
      <c r="K24" s="18">
        <v>1</v>
      </c>
      <c r="L24" s="18" t="str">
        <f ca="1">_xll.PALO.DATAC("Jedoxtest/EU_PM_CUBE02","#_Staatengruppen_und_NUTS","Langbezeichnung",$K24)</f>
        <v>Österreich</v>
      </c>
      <c r="M24" s="308">
        <f ca="1">_xll.PALO.DATAC("Jedoxtest/EU_PM_CUBE02","EUPM_Mittel2_Cube",$B$4,"Alle Beteiligungen","Alle Koordinatoren","Alle Unternehmensgrößen","-2","Alle Organisationstypen",28,"Alle Expertevaluierungsstatus","-2","-2",$K24,"-2","Alle","-2","foerderung")</f>
        <v>1856201567.4500101</v>
      </c>
      <c r="N24" s="309">
        <f t="shared" ca="1" si="0"/>
        <v>1</v>
      </c>
      <c r="O24" s="17">
        <v>10</v>
      </c>
      <c r="P24" s="17" t="str">
        <f t="shared" ca="1" si="1"/>
        <v>Vorarlberg</v>
      </c>
    </row>
    <row r="25" spans="1:16" ht="21">
      <c r="B25" s="464"/>
      <c r="C25" s="338"/>
      <c r="D25" s="338"/>
      <c r="E25" s="463"/>
      <c r="H25" s="18">
        <v>1</v>
      </c>
      <c r="I25" s="18">
        <v>-2</v>
      </c>
      <c r="J25" s="18" t="s">
        <v>135</v>
      </c>
    </row>
    <row r="26" spans="1:16" ht="21">
      <c r="B26" s="464">
        <f ca="1">$H$27</f>
        <v>774</v>
      </c>
      <c r="C26" s="338" t="s">
        <v>351</v>
      </c>
      <c r="D26" s="338"/>
      <c r="E26" s="463"/>
      <c r="G26" s="18" t="s">
        <v>57</v>
      </c>
      <c r="H26" s="321">
        <f ca="1">_xll.PALO.DATAC("Jedoxtest/EU_PM_CUBE02","EUPM_Mittel2_Cube",$B$4,"Alle Beteiligungen","Alle Koordinatoren","Alle Unternehmensgrößen","-2","Alle Organisationstypen",28,"Alle Expertevaluierungsstatus","-2","-2",H$25,"-2","Alle","-2",$G26)</f>
        <v>3919</v>
      </c>
      <c r="I26" s="321">
        <f ca="1">_xll.PALO.DATAC("Jedoxtest/EU_PM_CUBE02","EUPM_Mittel2_Cube",$B$4,"Alle Beteiligungen","Alle Koordinatoren","Alle Unternehmensgrößen","-2","Alle Organisationstypen",28,"Alle Expertevaluierungsstatus","-2","-2",I$25,"-2","Alle","-2",$G26)</f>
        <v>137401</v>
      </c>
      <c r="J26" s="322">
        <f ca="1">H26/I26</f>
        <v>2.8522354276897546E-2</v>
      </c>
      <c r="M26" s="18"/>
      <c r="N26" s="18"/>
    </row>
    <row r="27" spans="1:16" ht="21">
      <c r="B27" s="465">
        <f ca="1">$J$27</f>
        <v>3.3116549717610813E-2</v>
      </c>
      <c r="C27" s="338" t="s">
        <v>352</v>
      </c>
      <c r="D27" s="338"/>
      <c r="E27" s="463"/>
      <c r="G27" s="18" t="s">
        <v>59</v>
      </c>
      <c r="H27" s="321">
        <f ca="1">_xll.PALO.DATAC("Jedoxtest/EU_PM_CUBE02","EUPM_Mittel2_Cube",$B$4,"Alle Beteiligungen","Alle Koordinatoren","Alle Unternehmensgrößen","-2","Alle Organisationstypen",28,"Alle Expertevaluierungsstatus","-2","-2",H$25,"-2","Alle","-2",$G27)</f>
        <v>774</v>
      </c>
      <c r="I27" s="321">
        <f ca="1">_xll.PALO.DATAC("Jedoxtest/EU_PM_CUBE02","EUPM_Mittel2_Cube",$B$4,"Alle Beteiligungen","Alle Koordinatoren","Alle Unternehmensgrößen","-2","Alle Organisationstypen",28,"Alle Expertevaluierungsstatus","-2","-2",I$25,"-2","Alle","-2",$G27)</f>
        <v>23372</v>
      </c>
      <c r="J27" s="322">
        <f ca="1">H27/I27</f>
        <v>3.3116549717610813E-2</v>
      </c>
    </row>
    <row r="28" spans="1:16">
      <c r="B28" s="20"/>
      <c r="C28" s="21"/>
      <c r="D28" s="20"/>
      <c r="E28" s="320"/>
    </row>
    <row r="29" spans="1:16" ht="18.75">
      <c r="B29" s="275"/>
      <c r="C29" s="21"/>
      <c r="D29" s="20"/>
      <c r="E29" s="320"/>
    </row>
    <row r="30" spans="1:16">
      <c r="B30" s="276"/>
      <c r="C30" s="272"/>
      <c r="D30" s="20"/>
      <c r="E30" s="320"/>
    </row>
    <row r="31" spans="1:16">
      <c r="B31" s="20"/>
      <c r="C31" s="272"/>
      <c r="D31" s="20"/>
      <c r="E31" s="320"/>
    </row>
    <row r="32" spans="1:16">
      <c r="B32" s="25"/>
      <c r="C32" s="272"/>
      <c r="D32" s="20"/>
      <c r="E32" s="320"/>
    </row>
    <row r="33" spans="1:19" ht="23.25">
      <c r="B33" s="28"/>
      <c r="C33" s="272"/>
    </row>
    <row r="34" spans="1:19">
      <c r="B34" s="30"/>
      <c r="C34" s="272"/>
    </row>
    <row r="35" spans="1:19">
      <c r="B35" s="20"/>
      <c r="C35" s="272"/>
    </row>
    <row r="36" spans="1:19" ht="15.75" thickBot="1">
      <c r="B36" s="22"/>
      <c r="C36" s="272"/>
    </row>
    <row r="37" spans="1:19" ht="15" customHeight="1">
      <c r="B37" s="25"/>
      <c r="C37" s="272"/>
    </row>
    <row r="38" spans="1:19" ht="14.25" customHeight="1">
      <c r="B38" s="25"/>
      <c r="C38" s="272"/>
    </row>
    <row r="39" spans="1:19" ht="14.25" customHeight="1">
      <c r="B39" s="27"/>
      <c r="C39" s="272"/>
      <c r="H39" s="18" t="s">
        <v>159</v>
      </c>
      <c r="M39" s="18"/>
      <c r="N39" s="17" t="s">
        <v>233</v>
      </c>
    </row>
    <row r="40" spans="1:19" ht="14.25" customHeight="1">
      <c r="A40"/>
      <c r="B40"/>
      <c r="C40" s="272"/>
      <c r="H40" s="18" t="s">
        <v>162</v>
      </c>
      <c r="M40" s="18"/>
    </row>
    <row r="41" spans="1:19">
      <c r="A41"/>
      <c r="B41"/>
      <c r="C41" s="272"/>
      <c r="H41" s="18">
        <v>6155</v>
      </c>
      <c r="I41" s="18">
        <v>6161</v>
      </c>
      <c r="J41" s="18">
        <v>6162</v>
      </c>
      <c r="K41" s="315">
        <v>6164</v>
      </c>
      <c r="L41" s="315"/>
      <c r="N41" s="309">
        <v>6151</v>
      </c>
      <c r="O41" s="309">
        <v>6152</v>
      </c>
      <c r="P41" s="309">
        <v>6153</v>
      </c>
      <c r="Q41" s="309">
        <v>6154</v>
      </c>
      <c r="R41" s="309">
        <v>6150</v>
      </c>
    </row>
    <row r="42" spans="1:19">
      <c r="A42"/>
      <c r="B42"/>
      <c r="C42" s="272"/>
      <c r="H42" s="18" t="str">
        <f ca="1">_xll.PALO.DATAC("jedoxtest/EU_PM_CUBE02","#_Programme","Langbezeichnung",H$41)</f>
        <v>European Research Council (ERC)</v>
      </c>
      <c r="I42" s="18" t="str">
        <f ca="1">_xll.PALO.DATAC("jedoxtest/EU_PM_CUBE02","#_Programme","Langbezeichnung",I$41)</f>
        <v>Digital, Industry and Space</v>
      </c>
      <c r="J42" s="18" t="str">
        <f ca="1">_xll.PALO.DATAC("jedoxtest/EU_PM_CUBE02","#_Programme","Langbezeichnung",J$41)</f>
        <v>Climate, Energy and Mobility</v>
      </c>
      <c r="K42" s="18" t="str">
        <f ca="1">_xll.PALO.DATAC("jedoxtest/EU_PM_CUBE02","#_Programme","Langbezeichnung",K$41)</f>
        <v>The European Innovation Council (EIC)</v>
      </c>
      <c r="L42" s="18" t="str">
        <f ca="1">_xll.PALO.DATAC("jedoxtest/EU_PM_CUBE02","#_Programme","Langbezeichnung",L$41)</f>
        <v/>
      </c>
      <c r="M42" s="18" t="str">
        <f ca="1">_xll.PALO.DATAC("jedoxtest/EU_PM_CUBE02","#_Programme","Langbezeichnung",M$41)</f>
        <v/>
      </c>
      <c r="N42" s="18" t="str">
        <f ca="1">_xll.PALO.DATAC("jedoxtest/EU_PM_CUBE02","#_Programme","Langbezeichnung",N$41)</f>
        <v>Excellent Science</v>
      </c>
      <c r="O42" s="18" t="str">
        <f ca="1">_xll.PALO.DATAC("jedoxtest/EU_PM_CUBE02","#_Programme","Langbezeichnung",O$41)</f>
        <v>Global Challenges and European Industrial Competitiveness</v>
      </c>
      <c r="P42" s="18" t="str">
        <f ca="1">_xll.PALO.DATAC("jedoxtest/EU_PM_CUBE02","#_Programme","Langbezeichnung",P$41)</f>
        <v>Innovative Europe</v>
      </c>
      <c r="Q42" s="18" t="str">
        <f ca="1">_xll.PALO.DATAC("jedoxtest/EU_PM_CUBE02","#_Programme","Langbezeichnung",Q$41)</f>
        <v>Widening Participation and Strengthening the European Research Area</v>
      </c>
      <c r="R42" s="18" t="str">
        <f ca="1">_xll.PALO.DATAC("jedoxtest/EU_PM_CUBE02","#_Programme","Langbezeichnung",R$41)</f>
        <v>Euratom</v>
      </c>
      <c r="S42" s="18"/>
    </row>
    <row r="43" spans="1:19">
      <c r="A43"/>
      <c r="B43"/>
      <c r="C43" s="272"/>
      <c r="H43" s="29">
        <f ca="1">_xll.PALO.DATAC("jedoxtest/EU_PM_CUBE02","EUPM_Mittel2_Cube",$B$4,"Alle Beteiligungen","Alle Koordinatoren","Alle Unternehmensgrößen","-2","Alle Organisationstypen",28,"Alle Expertevaluierungsstatus",H$41,"-2",1,"-2","Alle","-2","foerderung")/1000000</f>
        <v>447.84801045999995</v>
      </c>
      <c r="I43" s="29">
        <f ca="1">_xll.PALO.DATAC("jedoxtest/EU_PM_CUBE02","EUPM_Mittel2_Cube",$B$4,"Alle Beteiligungen","Alle Koordinatoren","Alle Unternehmensgrößen","-2","Alle Organisationstypen",28,"Alle Expertevaluierungsstatus",I$41,"-2",1,"-2","Alle","-2","foerderung")/1000000</f>
        <v>324.81460499000002</v>
      </c>
      <c r="J43" s="29">
        <f ca="1">_xll.PALO.DATAC("jedoxtest/EU_PM_CUBE02","EUPM_Mittel2_Cube",$B$4,"Alle Beteiligungen","Alle Koordinatoren","Alle Unternehmensgrößen","-2","Alle Organisationstypen",28,"Alle Expertevaluierungsstatus",J$41,"-2",1,"-2","Alle","-2","foerderung")/1000000</f>
        <v>381.36133322000001</v>
      </c>
      <c r="K43" s="29">
        <f ca="1">_xll.PALO.DATAC("jedoxtest/EU_PM_CUBE02","EUPM_Mittel2_Cube",$B$4,"Alle Beteiligungen","Alle Koordinatoren","Alle Unternehmensgrößen","-2","Alle Organisationstypen",28,"Alle Expertevaluierungsstatus",K$41,"-2",1,"-2","Alle","-2","foerderung")/1000000</f>
        <v>99.670759390000001</v>
      </c>
      <c r="L43" s="29"/>
      <c r="M43" s="29"/>
      <c r="N43" s="29">
        <f ca="1">_xll.PALO.DATAC("jedoxtest/EU_PM_CUBE02","EUPM_Mittel2_Cube",$B$4,"Alle Beteiligungen","Alle Koordinatoren","Alle Unternehmensgrößen","-2","Alle Organisationstypen",28,"Alle Expertevaluierungsstatus",N$41,"-2",1,"-2","Alle","-2","foerderung")/1000000</f>
        <v>609.70869416000107</v>
      </c>
      <c r="O43" s="29">
        <f ca="1">_xll.PALO.DATAC("jedoxtest/EU_PM_CUBE02","EUPM_Mittel2_Cube",$B$4,"Alle Beteiligungen","Alle Koordinatoren","Alle Unternehmensgrößen","-2","Alle Organisationstypen",28,"Alle Expertevaluierungsstatus",O$41,"-2",1,"-2","Alle","-2","foerderung")/1000000</f>
        <v>1099.47630349</v>
      </c>
      <c r="P43" s="29">
        <f ca="1">_xll.PALO.DATAC("jedoxtest/EU_PM_CUBE02","EUPM_Mittel2_Cube",$B$4,"Alle Beteiligungen","Alle Koordinatoren","Alle Unternehmensgrößen","-2","Alle Organisationstypen",28,"Alle Expertevaluierungsstatus",P$41,"-2",1,"-2","Alle","-2","foerderung")/1000000</f>
        <v>120.36075111</v>
      </c>
      <c r="Q43" s="29">
        <f ca="1">_xll.PALO.DATAC("jedoxtest/EU_PM_CUBE02","EUPM_Mittel2_Cube",$B$4,"Alle Beteiligungen","Alle Koordinatoren","Alle Unternehmensgrößen","-2","Alle Organisationstypen",28,"Alle Expertevaluierungsstatus",Q$41,"-2",1,"-2","Alle","-2","foerderung")/1000000</f>
        <v>26.65581869</v>
      </c>
      <c r="R43" s="29">
        <f ca="1">_xll.PALO.DATAC("jedoxtest/EU_PM_CUBE02","EUPM_Mittel2_Cube",$B$4,"Alle Beteiligungen","Alle Koordinatoren","Alle Unternehmensgrößen","-2","Alle Organisationstypen",28,"Alle Expertevaluierungsstatus",R$41,"-2",1,"-2","Alle","-2","foerderung")/1000000</f>
        <v>0</v>
      </c>
      <c r="S43" s="29"/>
    </row>
    <row r="44" spans="1:19" ht="14.25" customHeight="1">
      <c r="A44"/>
      <c r="B44"/>
      <c r="C44"/>
      <c r="H44" s="29" t="str">
        <f ca="1">TEXT(_xll.PALO.DATAC("jedoxtest/EU_PM_CUBE02","EUPM_Mittel2_Cube",$B$4,"Alle Beteiligungen","Alle Koordinatoren","Alle Unternehmensgrößen","-2","Alle Organisationstypen",28,"Alle Expertevaluierungsstatus",H$41,"-2",1,"-2","Alle","-2","foerderung")/1000000,"#.##0,0")&amp;" Mio. €"</f>
        <v>447,8 Mio. €</v>
      </c>
      <c r="I44" s="29" t="str">
        <f ca="1">TEXT(_xll.PALO.DATAC("jedoxtest/EU_PM_CUBE02","EUPM_Mittel2_Cube",$B$4,"Alle Beteiligungen","Alle Koordinatoren","Alle Unternehmensgrößen","-2","Alle Organisationstypen",28,"Alle Expertevaluierungsstatus",I$41,"-2",1,"-2","Alle","-2","foerderung")/1000000,"#.##0,0")&amp;" Mio. €"</f>
        <v>324,8 Mio. €</v>
      </c>
      <c r="J44" s="29" t="str">
        <f ca="1">TEXT(_xll.PALO.DATAC("jedoxtest/EU_PM_CUBE02","EUPM_Mittel2_Cube",$B$4,"Alle Beteiligungen","Alle Koordinatoren","Alle Unternehmensgrößen","-2","Alle Organisationstypen",28,"Alle Expertevaluierungsstatus",J$41,"-2",1,"-2","Alle","-2","foerderung")/1000000,"#.##0,0")&amp;" Mio. €"</f>
        <v>381,4 Mio. €</v>
      </c>
      <c r="K44" s="29" t="str">
        <f ca="1">TEXT(_xll.PALO.DATAC("jedoxtest/EU_PM_CUBE02","EUPM_Mittel2_Cube",$B$4,"Alle Beteiligungen","Alle Koordinatoren","Alle Unternehmensgrößen","-2","Alle Organisationstypen",28,"Alle Expertevaluierungsstatus",K$41,"-2",1,"-2","Alle","-2","foerderung")/1000000,"#.##0,0")&amp;" Mio. €"</f>
        <v>99,7 Mio. €</v>
      </c>
      <c r="L44" s="29"/>
      <c r="M44" s="29"/>
      <c r="N44" s="29" t="str">
        <f ca="1">TEXT(_xll.PALO.DATAC("jedoxtest/EU_PM_CUBE02","EUPM_Mittel2_Cube",$B$4,"Alle Beteiligungen","Alle Koordinatoren","Alle Unternehmensgrößen","-2","Alle Organisationstypen",28,"Alle Expertevaluierungsstatus",N$41,"-2",1,"-2","Alle","-2","foerderung")/1000000,"#.##0,0")&amp;" Mio. €"</f>
        <v>609,7 Mio. €</v>
      </c>
      <c r="O44" s="29" t="str">
        <f ca="1">TEXT(_xll.PALO.DATAC("jedoxtest/EU_PM_CUBE02","EUPM_Mittel2_Cube",$B$4,"Alle Beteiligungen","Alle Koordinatoren","Alle Unternehmensgrößen","-2","Alle Organisationstypen",28,"Alle Expertevaluierungsstatus",O$41,"-2",1,"-2","Alle","-2","foerderung")/1000000,"#.##0,0")&amp;" Mio. €"</f>
        <v>1.099,5 Mio. €</v>
      </c>
      <c r="P44" s="29" t="str">
        <f ca="1">TEXT(_xll.PALO.DATAC("jedoxtest/EU_PM_CUBE02","EUPM_Mittel2_Cube",$B$4,"Alle Beteiligungen","Alle Koordinatoren","Alle Unternehmensgrößen","-2","Alle Organisationstypen",28,"Alle Expertevaluierungsstatus",P$41,"-2",1,"-2","Alle","-2","foerderung")/1000000,"#.##0,0")&amp;" Mio. €"</f>
        <v>120,4 Mio. €</v>
      </c>
      <c r="Q44" s="29" t="str">
        <f ca="1">TEXT(_xll.PALO.DATAC("jedoxtest/EU_PM_CUBE02","EUPM_Mittel2_Cube",$B$4,"Alle Beteiligungen","Alle Koordinatoren","Alle Unternehmensgrößen","-2","Alle Organisationstypen",28,"Alle Expertevaluierungsstatus",Q$41,"-2",1,"-2","Alle","-2","foerderung")/1000000,"#.##0,0")&amp;" Mio. €"</f>
        <v>26,7 Mio. €</v>
      </c>
      <c r="R44" s="29" t="str">
        <f ca="1">TEXT(_xll.PALO.DATAC("jedoxtest/EU_PM_CUBE02","EUPM_Mittel2_Cube",$B$4,"Alle Beteiligungen","Alle Koordinatoren","Alle Unternehmensgrößen","-2","Alle Organisationstypen",28,"Alle Expertevaluierungsstatus",R$41,"-2",1,"-2","Alle","-2","foerderung")/1000000,"#.##0,0")&amp;" Mio. €"</f>
        <v>0,0 Mio. €</v>
      </c>
      <c r="S44" s="29"/>
    </row>
    <row r="45" spans="1:19">
      <c r="A45"/>
      <c r="B45"/>
      <c r="C45"/>
      <c r="N45" s="309"/>
      <c r="O45" s="309"/>
      <c r="P45" s="309"/>
      <c r="Q45" s="309"/>
      <c r="R45" s="309"/>
    </row>
    <row r="46" spans="1:19" ht="24" customHeight="1">
      <c r="A46"/>
      <c r="B46"/>
      <c r="C46"/>
      <c r="M46" s="18"/>
      <c r="N46" s="18"/>
    </row>
  </sheetData>
  <mergeCells count="1">
    <mergeCell ref="B14:E14"/>
  </mergeCells>
  <pageMargins left="0.70866141732283472" right="0.70866141732283472" top="0.74803149606299213" bottom="0.74803149606299213" header="0.31496062992125984" footer="0.31496062992125984"/>
  <pageSetup paperSize="9" scale="91" fitToHeight="2" orientation="portrait" r:id="rId1"/>
  <headerFooter>
    <oddHeader>&amp;R&amp;G</oddHeader>
    <oddFooter>&amp;L&amp;"Calibri Light,Standard"&amp;7&amp;KA6A6A6Österreichische Forschungsförderungsgesellschaft mbH
Sensengasse 1, A-1090 Wien&amp;C&amp;"Calibri Light,Standard"&amp;7&amp;KA6A6A6EU-PM
&amp;D&amp;R&amp;"Calibri Light,Standard"&amp;7&amp;KA6A6A6Seite &amp;P von &amp;N</oddFooter>
  </headerFooter>
  <rowBreaks count="1" manualBreakCount="1">
    <brk id="7" min="1" max="2" man="1"/>
  </rowBreaks>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5">
    <tabColor rgb="FF92D050"/>
    <pageSetUpPr fitToPage="1"/>
  </sheetPr>
  <dimension ref="A1:L65"/>
  <sheetViews>
    <sheetView topLeftCell="A21" zoomScaleNormal="100" workbookViewId="0">
      <selection activeCell="D33" sqref="D33"/>
    </sheetView>
  </sheetViews>
  <sheetFormatPr baseColWidth="10" defaultColWidth="11.42578125" defaultRowHeight="15"/>
  <cols>
    <col min="1" max="1" width="5" style="61" customWidth="1"/>
    <col min="2" max="2" width="10.85546875" style="61" hidden="1" customWidth="1"/>
    <col min="3" max="3" width="12.42578125" style="61" bestFit="1" customWidth="1"/>
    <col min="4" max="5" width="11.42578125" style="61"/>
    <col min="6" max="6" width="19.7109375" style="61" customWidth="1"/>
    <col min="7" max="8" width="11.42578125" style="61"/>
    <col min="9" max="9" width="12.5703125" style="61" customWidth="1"/>
    <col min="10" max="10" width="19.5703125" style="61" customWidth="1"/>
    <col min="11" max="11" width="18.5703125" style="61" customWidth="1"/>
    <col min="12" max="12" width="4.140625" style="61" customWidth="1"/>
    <col min="13" max="16384" width="11.42578125" style="61"/>
  </cols>
  <sheetData>
    <row r="1" spans="1:12" ht="14.25" customHeight="1">
      <c r="A1" s="108"/>
      <c r="B1" s="109" t="b">
        <f ca="1">_xll.PALO.HIDECOLUMN(ISBLANK($A$1))</f>
        <v>1</v>
      </c>
      <c r="C1" s="108"/>
      <c r="D1" s="35"/>
      <c r="E1" s="35"/>
      <c r="F1" s="35"/>
      <c r="G1" s="35"/>
      <c r="H1" s="35"/>
      <c r="I1" s="35"/>
      <c r="J1" s="35"/>
      <c r="K1" s="35"/>
      <c r="L1" s="35"/>
    </row>
    <row r="2" spans="1:12" ht="25.5" customHeight="1">
      <c r="A2" s="108"/>
      <c r="B2" s="110"/>
      <c r="C2" s="168" t="str">
        <f ca="1">"Beteiligungsanteile der Mitgliedstaaten an EU-27 in "&amp;_xll.PALO.DATA("jedoxtest/EU_PM_CUBE02","#_Datenstand","frameworkprog_long",Bet_Anteile_EU_Datenstand)</f>
        <v>Beteiligungsanteile der Mitgliedstaaten an EU-27 in Horizon Europe</v>
      </c>
      <c r="D2" s="111"/>
      <c r="E2" s="111"/>
      <c r="F2" s="111"/>
      <c r="G2" s="111"/>
      <c r="H2" s="111"/>
      <c r="I2" s="111"/>
      <c r="J2" s="111"/>
      <c r="K2" s="111"/>
      <c r="L2" s="111"/>
    </row>
    <row r="3" spans="1:12" ht="15" customHeight="1">
      <c r="A3" s="108"/>
      <c r="B3" s="35"/>
      <c r="C3" s="35"/>
      <c r="D3" s="35"/>
      <c r="E3" s="35"/>
      <c r="F3" s="35"/>
      <c r="G3" s="35"/>
      <c r="H3" s="35"/>
      <c r="I3" s="35"/>
      <c r="J3" s="35"/>
      <c r="K3" s="35"/>
      <c r="L3" s="35"/>
    </row>
    <row r="4" spans="1:12" ht="15" customHeight="1">
      <c r="A4" s="108"/>
      <c r="B4" s="35"/>
      <c r="C4" s="35"/>
      <c r="D4" s="35"/>
      <c r="E4" s="35"/>
      <c r="F4" s="35"/>
      <c r="G4" s="35"/>
      <c r="H4" s="35"/>
      <c r="I4" s="35"/>
      <c r="J4" s="35"/>
      <c r="K4" s="35"/>
      <c r="L4" s="35"/>
    </row>
    <row r="5" spans="1:12" ht="15" customHeight="1">
      <c r="A5" s="108"/>
      <c r="B5" s="35"/>
      <c r="C5" s="35"/>
      <c r="D5" s="35"/>
      <c r="E5" s="35"/>
      <c r="F5" s="35"/>
      <c r="G5" s="35"/>
      <c r="H5" s="35"/>
      <c r="I5" s="35"/>
      <c r="J5" s="35"/>
      <c r="K5" s="35"/>
      <c r="L5" s="35"/>
    </row>
    <row r="6" spans="1:12" ht="15" customHeight="1">
      <c r="A6" s="108"/>
      <c r="B6" s="35"/>
      <c r="C6" s="35"/>
      <c r="D6" s="35"/>
      <c r="E6" s="35"/>
      <c r="F6" s="35"/>
      <c r="G6" s="35"/>
      <c r="H6" s="35"/>
      <c r="I6" s="35"/>
      <c r="J6" s="35"/>
      <c r="K6" s="35"/>
      <c r="L6" s="35"/>
    </row>
    <row r="7" spans="1:12" ht="15" customHeight="1">
      <c r="A7" s="108"/>
      <c r="B7" s="35"/>
      <c r="C7" s="35"/>
      <c r="D7" s="35"/>
      <c r="E7" s="35"/>
      <c r="F7" s="35"/>
      <c r="G7" s="35"/>
      <c r="H7" s="35"/>
      <c r="I7" s="35"/>
      <c r="J7" s="35"/>
      <c r="K7" s="35"/>
      <c r="L7" s="35"/>
    </row>
    <row r="8" spans="1:12" ht="15" customHeight="1">
      <c r="A8" s="108"/>
      <c r="B8" s="35"/>
      <c r="C8" s="35"/>
      <c r="D8" s="35"/>
      <c r="E8" s="35"/>
      <c r="F8" s="35"/>
      <c r="G8" s="35"/>
      <c r="H8" s="35"/>
      <c r="I8" s="35"/>
      <c r="J8" s="35"/>
      <c r="K8" s="35"/>
      <c r="L8" s="35"/>
    </row>
    <row r="9" spans="1:12" ht="21" customHeight="1">
      <c r="A9" s="108"/>
      <c r="B9" s="35"/>
      <c r="C9" s="35"/>
      <c r="D9" s="35"/>
      <c r="E9" s="35"/>
      <c r="F9" s="35"/>
      <c r="G9" s="35"/>
      <c r="H9" s="35"/>
      <c r="I9" s="35"/>
      <c r="J9" s="35"/>
      <c r="K9" s="35"/>
      <c r="L9" s="35"/>
    </row>
    <row r="10" spans="1:12" ht="21" customHeight="1">
      <c r="A10" s="108"/>
      <c r="B10" s="35"/>
      <c r="C10" s="35"/>
      <c r="D10" s="35"/>
      <c r="E10" s="35"/>
      <c r="F10" s="35"/>
      <c r="G10" s="35"/>
      <c r="H10" s="35"/>
      <c r="I10" s="35"/>
      <c r="J10" s="35"/>
      <c r="K10" s="35"/>
      <c r="L10" s="35"/>
    </row>
    <row r="11" spans="1:12" ht="21" customHeight="1">
      <c r="A11" s="108"/>
      <c r="B11" s="35"/>
      <c r="C11" s="35"/>
      <c r="D11" s="35"/>
      <c r="E11" s="35"/>
      <c r="F11" s="35"/>
      <c r="G11" s="35"/>
      <c r="H11" s="35"/>
      <c r="I11" s="35"/>
      <c r="J11" s="35"/>
      <c r="K11" s="35"/>
      <c r="L11" s="35"/>
    </row>
    <row r="12" spans="1:12" ht="21" customHeight="1">
      <c r="A12" s="108"/>
      <c r="B12" s="35"/>
      <c r="C12" s="35"/>
      <c r="D12" s="35"/>
      <c r="E12" s="35"/>
      <c r="F12" s="35"/>
      <c r="G12" s="35"/>
      <c r="H12" s="35"/>
      <c r="I12" s="35"/>
      <c r="J12" s="35"/>
      <c r="K12" s="35"/>
      <c r="L12" s="35"/>
    </row>
    <row r="13" spans="1:12" ht="21" customHeight="1">
      <c r="A13" s="108"/>
      <c r="B13" s="35"/>
      <c r="C13" s="35"/>
      <c r="D13" s="35"/>
      <c r="E13" s="35"/>
      <c r="F13" s="35"/>
      <c r="G13" s="35"/>
      <c r="H13" s="35"/>
      <c r="I13" s="35"/>
      <c r="J13" s="35"/>
      <c r="K13" s="35"/>
      <c r="L13" s="35"/>
    </row>
    <row r="14" spans="1:12" ht="21" customHeight="1">
      <c r="A14" s="108"/>
      <c r="B14" s="35"/>
      <c r="C14" s="35"/>
      <c r="D14" s="35"/>
      <c r="E14" s="35"/>
      <c r="F14" s="35"/>
      <c r="G14" s="35"/>
      <c r="H14" s="35"/>
      <c r="I14" s="35"/>
      <c r="J14" s="35"/>
      <c r="K14" s="35"/>
      <c r="L14" s="35"/>
    </row>
    <row r="15" spans="1:12" ht="21" customHeight="1">
      <c r="A15" s="108"/>
      <c r="B15" s="35"/>
      <c r="C15" s="35"/>
      <c r="D15" s="35"/>
      <c r="E15" s="35"/>
      <c r="F15" s="35"/>
      <c r="G15" s="35"/>
      <c r="H15" s="35"/>
      <c r="I15" s="35"/>
      <c r="J15" s="35"/>
      <c r="K15" s="35"/>
      <c r="L15" s="35"/>
    </row>
    <row r="16" spans="1:12" ht="21" customHeight="1">
      <c r="A16" s="108"/>
      <c r="B16" s="35"/>
      <c r="C16" s="35"/>
      <c r="D16" s="35"/>
      <c r="E16" s="35"/>
      <c r="F16" s="35"/>
      <c r="G16" s="35"/>
      <c r="H16" s="35"/>
      <c r="I16" s="35"/>
      <c r="J16" s="35"/>
      <c r="K16" s="35"/>
      <c r="L16" s="35"/>
    </row>
    <row r="17" spans="1:12" ht="21" customHeight="1">
      <c r="A17" s="108"/>
      <c r="B17" s="35"/>
      <c r="C17" s="35"/>
      <c r="D17" s="35"/>
      <c r="E17" s="35"/>
      <c r="F17" s="35"/>
      <c r="G17" s="35"/>
      <c r="H17" s="35"/>
      <c r="I17" s="35"/>
      <c r="J17" s="35"/>
      <c r="K17" s="35"/>
      <c r="L17" s="35"/>
    </row>
    <row r="18" spans="1:12" ht="21" customHeight="1">
      <c r="A18" s="108"/>
      <c r="B18" s="35"/>
      <c r="C18" s="35"/>
      <c r="D18" s="35"/>
      <c r="E18" s="35"/>
      <c r="F18" s="35"/>
      <c r="G18" s="35"/>
      <c r="H18" s="35"/>
      <c r="I18" s="35"/>
      <c r="J18" s="35"/>
      <c r="K18" s="35"/>
      <c r="L18" s="35"/>
    </row>
    <row r="19" spans="1:12" ht="21" customHeight="1">
      <c r="A19" s="108"/>
      <c r="B19" s="35"/>
      <c r="C19" s="35"/>
      <c r="D19" s="35"/>
      <c r="E19" s="35"/>
      <c r="F19" s="35"/>
      <c r="G19" s="35"/>
      <c r="H19" s="35"/>
      <c r="I19" s="35"/>
      <c r="J19" s="35"/>
      <c r="K19" s="35"/>
      <c r="L19" s="35"/>
    </row>
    <row r="20" spans="1:12" ht="23.25" customHeight="1">
      <c r="A20" s="108"/>
      <c r="B20" s="35"/>
      <c r="C20" s="35"/>
      <c r="D20" s="35"/>
      <c r="E20" s="35"/>
      <c r="F20" s="35"/>
      <c r="G20" s="35"/>
      <c r="H20" s="35"/>
      <c r="I20" s="35"/>
      <c r="J20" s="35"/>
      <c r="K20" s="35"/>
      <c r="L20" s="35"/>
    </row>
    <row r="21" spans="1:12" ht="23.25" customHeight="1">
      <c r="A21" s="108"/>
      <c r="B21" s="35"/>
      <c r="C21" s="35"/>
      <c r="D21" s="35"/>
      <c r="E21" s="35"/>
      <c r="F21" s="35"/>
      <c r="G21" s="35"/>
      <c r="H21" s="35"/>
      <c r="I21" s="35"/>
      <c r="J21" s="35"/>
      <c r="K21" s="35"/>
      <c r="L21" s="35"/>
    </row>
    <row r="22" spans="1:12" ht="23.25" customHeight="1">
      <c r="A22" s="108"/>
      <c r="B22" s="35"/>
      <c r="C22" s="35"/>
      <c r="D22" s="35"/>
      <c r="E22" s="35"/>
      <c r="F22" s="35"/>
      <c r="G22" s="35"/>
      <c r="H22" s="35"/>
      <c r="I22" s="35"/>
      <c r="J22" s="35"/>
      <c r="K22" s="35"/>
      <c r="L22" s="35"/>
    </row>
    <row r="23" spans="1:12" ht="23.25" customHeight="1">
      <c r="A23" s="108"/>
      <c r="B23" s="35"/>
      <c r="C23" s="35"/>
      <c r="D23" s="35"/>
      <c r="E23" s="35"/>
      <c r="F23" s="35"/>
      <c r="G23" s="35"/>
      <c r="H23" s="35"/>
      <c r="I23" s="35"/>
      <c r="J23" s="35"/>
      <c r="K23" s="35"/>
      <c r="L23" s="35"/>
    </row>
    <row r="24" spans="1:12" ht="15" customHeight="1">
      <c r="A24" s="108"/>
      <c r="B24" s="35"/>
      <c r="C24" s="749" t="s">
        <v>276</v>
      </c>
      <c r="D24" s="749"/>
      <c r="E24" s="749"/>
      <c r="F24" s="749"/>
      <c r="G24" s="749"/>
      <c r="H24" s="749"/>
      <c r="I24" s="749"/>
      <c r="J24" s="749"/>
      <c r="K24" s="749"/>
      <c r="L24" s="35"/>
    </row>
    <row r="25" spans="1:12" ht="10.5" customHeight="1">
      <c r="A25" s="108"/>
      <c r="B25" s="35"/>
      <c r="C25" s="41"/>
      <c r="D25" s="41"/>
      <c r="E25" s="41"/>
      <c r="F25" s="41"/>
      <c r="G25" s="41"/>
      <c r="H25" s="41"/>
      <c r="I25" s="41"/>
      <c r="J25" s="41"/>
      <c r="K25" s="41"/>
      <c r="L25" s="35"/>
    </row>
    <row r="26" spans="1:12" ht="15" customHeight="1">
      <c r="A26" s="108"/>
      <c r="B26" s="35"/>
      <c r="C26" s="41"/>
      <c r="D26" s="41"/>
      <c r="E26" s="41"/>
      <c r="F26" s="46"/>
      <c r="G26" s="46"/>
      <c r="H26" s="46"/>
      <c r="I26" s="41"/>
      <c r="J26" s="705" t="str">
        <f ca="1">"Quelle: EC "&amp;TEXT(_xll.PALO.DATA("jedoxtest/EU_PM_CUBE02","#_Datenstand","reference_month",Bet_Anteile_EU_Datenstand),"00")&amp;"/"&amp;_xll.PALO.DATA("jedoxtest/EU_PM_CUBE02","#_Datenstand","reference_year",Bet_Anteile_EU_Datenstand)&amp;"; Darstellung FFG"</f>
        <v>Quelle: EC 05/2026; Darstellung FFG</v>
      </c>
      <c r="K26" s="706" t="s">
        <v>27</v>
      </c>
      <c r="L26" s="35"/>
    </row>
    <row r="27" spans="1:12" ht="15" customHeight="1">
      <c r="A27" s="108"/>
      <c r="B27" s="35"/>
      <c r="C27" s="41"/>
      <c r="D27" s="41"/>
      <c r="E27" s="41"/>
      <c r="F27" s="45"/>
      <c r="G27" s="45"/>
      <c r="H27" s="45"/>
      <c r="I27" s="41"/>
      <c r="J27" s="70"/>
      <c r="K27" s="70"/>
      <c r="L27" s="35"/>
    </row>
    <row r="28" spans="1:12" ht="15" customHeight="1">
      <c r="A28" s="108"/>
      <c r="B28" s="35"/>
      <c r="C28" s="35"/>
      <c r="D28" s="35"/>
      <c r="E28" s="35"/>
      <c r="F28" s="35"/>
      <c r="G28" s="35"/>
      <c r="H28" s="35"/>
      <c r="I28" s="35"/>
      <c r="J28" s="35"/>
      <c r="K28" s="35"/>
      <c r="L28" s="35"/>
    </row>
    <row r="33" spans="1:11">
      <c r="D33" s="61" t="s">
        <v>433</v>
      </c>
    </row>
    <row r="34" spans="1:11">
      <c r="A34" s="112"/>
      <c r="D34" s="336">
        <v>1000001</v>
      </c>
      <c r="E34" s="336"/>
      <c r="F34" s="336"/>
      <c r="G34" s="336"/>
      <c r="H34" s="336"/>
      <c r="I34" s="97">
        <f ca="1">_xll.PALO.DATAC("jedoxtest/EU_PM_CUBE02","EUPM_Mittel2_Cube",Bet_Anteile_EU_Datenstand,"Alle Beteiligungen","Alle Koordinatoren","Alle Unternehmensgrößen","-2","Alle Organisationstypen",28,"Alle Expertevaluierungsstatus","-2","-2",$D$34,"-2","Alle","-2","anzahl_beteiligungen")</f>
        <v>113028</v>
      </c>
      <c r="J34" s="97">
        <f ca="1">_xll.PALO.DATAC("jedoxtest/EU_PM_CUBE02","EUPM_Mittel2_Cube",Bet_Anteile_EU_Datenstand,"Alle Beteiligungen","Alle Koordinatoren","Alle Unternehmensgrößen","-2","Alle Organisationstypen",28,"Alle Expertevaluierungsstatus","-2","-2",$D$34,"-2","Alle","-2","foerderung")</f>
        <v>51597038472.098</v>
      </c>
      <c r="K34" s="97">
        <f ca="1">_xll.PALO.DATAC("jedoxtest/EU_PM_CUBE02","EUPM_Mittel2_Cube",Bet_Anteile_EU_Datenstand,"Alle Beteiligungen","Alle Koordinatoren","Alle Unternehmensgrößen","-2","Alle Organisationstypen",28,"Alle Expertevaluierungsstatus","-2","-2",$D$34,"-2","Alle","-2","anzahl_koordinatoren")</f>
        <v>20138</v>
      </c>
    </row>
    <row r="35" spans="1:11">
      <c r="A35" s="112"/>
      <c r="D35" s="336" t="s">
        <v>60</v>
      </c>
      <c r="E35" s="336" t="s">
        <v>30</v>
      </c>
      <c r="F35" s="336" t="s">
        <v>26</v>
      </c>
      <c r="G35" s="336" t="s">
        <v>25</v>
      </c>
      <c r="H35" s="336" t="s">
        <v>24</v>
      </c>
      <c r="I35" s="349" t="s">
        <v>61</v>
      </c>
      <c r="J35" s="350" t="s">
        <v>62</v>
      </c>
      <c r="K35" s="350" t="s">
        <v>63</v>
      </c>
    </row>
    <row r="36" spans="1:11">
      <c r="A36" s="112"/>
      <c r="D36" s="107">
        <v>223</v>
      </c>
      <c r="E36" s="68" t="str">
        <f ca="1">_xll.PALO.DATAC("jedoxtest/EU_PM_CUBE02","#_Staatengruppen_und_NUTS","Bezeichnung",$D36)</f>
        <v>DE</v>
      </c>
      <c r="F36" s="351">
        <f t="shared" ref="F36:F63" ca="1" si="0">I36/I$34</f>
        <v>0.13458612025338854</v>
      </c>
      <c r="G36" s="351">
        <f t="shared" ref="G36:G63" ca="1" si="1">J36/J$34</f>
        <v>0.17430334737105935</v>
      </c>
      <c r="H36" s="351">
        <f t="shared" ref="H36:H63" ca="1" si="2">K36/K$34</f>
        <v>0.14792928791339754</v>
      </c>
      <c r="I36" s="349">
        <f ca="1">_xll.PALO.DATAC("jedoxtest/EU_PM_CUBE02","EUPM_Mittel2_Cube",Bet_Anteile_EU_Datenstand,"Alle Beteiligungen","Alle Koordinatoren","Alle Unternehmensgrößen","-2","Alle Organisationstypen",28,"Alle Expertevaluierungsstatus","-2","-2",$D36,"-2","Alle","-2","anzahl_beteiligungen")</f>
        <v>15212</v>
      </c>
      <c r="J36" s="349">
        <f ca="1">_xll.PALO.DATAC("jedoxtest/EU_PM_CUBE02","EUPM_Mittel2_Cube",Bet_Anteile_EU_Datenstand,"Alle Beteiligungen","Alle Koordinatoren","Alle Unternehmensgrößen","-2","Alle Organisationstypen",28,"Alle Expertevaluierungsstatus","-2","-2",$D36,"-2","Alle","-2","foerderung")</f>
        <v>8993536520.1200104</v>
      </c>
      <c r="K36" s="349">
        <f ca="1">_xll.PALO.DATAC("jedoxtest/EU_PM_CUBE02","EUPM_Mittel2_Cube",Bet_Anteile_EU_Datenstand,"Alle Beteiligungen","Alle Koordinatoren","Alle Unternehmensgrößen","-2","Alle Organisationstypen",28,"Alle Expertevaluierungsstatus","-2","-2",$D36,"-2","Alle","-2","anzahl_koordinatoren")</f>
        <v>2979</v>
      </c>
    </row>
    <row r="37" spans="1:11">
      <c r="A37" s="112"/>
      <c r="B37" s="61" t="s">
        <v>23</v>
      </c>
      <c r="C37" s="61" t="str">
        <f ca="1">_xll.PALO.ENAME("jedoxtest/EU_PM_CUBE02","Datenstand",3)</f>
        <v>117</v>
      </c>
      <c r="D37" s="107">
        <v>815</v>
      </c>
      <c r="E37" s="68" t="str">
        <f ca="1">_xll.PALO.DATAC("jedoxtest/EU_PM_CUBE02","#_Staatengruppen_und_NUTS","Bezeichnung",$D37)</f>
        <v>ES</v>
      </c>
      <c r="F37" s="351">
        <f t="shared" ca="1" si="0"/>
        <v>0.13292281558551863</v>
      </c>
      <c r="G37" s="351">
        <f t="shared" ca="1" si="1"/>
        <v>0.11694923458374686</v>
      </c>
      <c r="H37" s="351">
        <f t="shared" ca="1" si="2"/>
        <v>0.14182143211838316</v>
      </c>
      <c r="I37" s="349">
        <f ca="1">_xll.PALO.DATAC("jedoxtest/EU_PM_CUBE02","EUPM_Mittel2_Cube",Bet_Anteile_EU_Datenstand,"Alle Beteiligungen","Alle Koordinatoren","Alle Unternehmensgrößen","-2","Alle Organisationstypen",28,"Alle Expertevaluierungsstatus","-2","-2",$D37,"-2","Alle","-2","anzahl_beteiligungen")</f>
        <v>15024</v>
      </c>
      <c r="J37" s="349">
        <f ca="1">_xll.PALO.DATAC("jedoxtest/EU_PM_CUBE02","EUPM_Mittel2_Cube",Bet_Anteile_EU_Datenstand,"Alle Beteiligungen","Alle Koordinatoren","Alle Unternehmensgrößen","-2","Alle Organisationstypen",28,"Alle Expertevaluierungsstatus","-2","-2",$D37,"-2","Alle","-2","foerderung")</f>
        <v>6034234156.1000004</v>
      </c>
      <c r="K37" s="349">
        <f ca="1">_xll.PALO.DATAC("jedoxtest/EU_PM_CUBE02","EUPM_Mittel2_Cube",Bet_Anteile_EU_Datenstand,"Alle Beteiligungen","Alle Koordinatoren","Alle Unternehmensgrößen","-2","Alle Organisationstypen",28,"Alle Expertevaluierungsstatus","-2","-2",$D37,"-2","Alle","-2","anzahl_koordinatoren")</f>
        <v>2856</v>
      </c>
    </row>
    <row r="38" spans="1:11">
      <c r="D38" s="107">
        <v>1154</v>
      </c>
      <c r="E38" s="68" t="str">
        <f ca="1">_xll.PALO.DATAC("jedoxtest/EU_PM_CUBE02","#_Staatengruppen_und_NUTS","Bezeichnung",$D38)</f>
        <v>IT</v>
      </c>
      <c r="F38" s="351">
        <f t="shared" ca="1" si="0"/>
        <v>0.11338783310330183</v>
      </c>
      <c r="G38" s="351">
        <f t="shared" ca="1" si="1"/>
        <v>9.1625286385313545E-2</v>
      </c>
      <c r="H38" s="351">
        <f t="shared" ca="1" si="2"/>
        <v>0.11416228026616347</v>
      </c>
      <c r="I38" s="349">
        <f ca="1">_xll.PALO.DATAC("jedoxtest/EU_PM_CUBE02","EUPM_Mittel2_Cube",Bet_Anteile_EU_Datenstand,"Alle Beteiligungen","Alle Koordinatoren","Alle Unternehmensgrößen","-2","Alle Organisationstypen",28,"Alle Expertevaluierungsstatus","-2","-2",$D38,"-2","Alle","-2","anzahl_beteiligungen")</f>
        <v>12816</v>
      </c>
      <c r="J38" s="349">
        <f ca="1">_xll.PALO.DATAC("jedoxtest/EU_PM_CUBE02","EUPM_Mittel2_Cube",Bet_Anteile_EU_Datenstand,"Alle Beteiligungen","Alle Koordinatoren","Alle Unternehmensgrößen","-2","Alle Organisationstypen",28,"Alle Expertevaluierungsstatus","-2","-2",$D38,"-2","Alle","-2","foerderung")</f>
        <v>4727593426.6400204</v>
      </c>
      <c r="K38" s="349">
        <f ca="1">_xll.PALO.DATAC("jedoxtest/EU_PM_CUBE02","EUPM_Mittel2_Cube",Bet_Anteile_EU_Datenstand,"Alle Beteiligungen","Alle Koordinatoren","Alle Unternehmensgrößen","-2","Alle Organisationstypen",28,"Alle Expertevaluierungsstatus","-2","-2",$D38,"-2","Alle","-2","anzahl_koordinatoren")</f>
        <v>2299</v>
      </c>
    </row>
    <row r="39" spans="1:11" ht="15" customHeight="1">
      <c r="D39" s="107">
        <v>935</v>
      </c>
      <c r="E39" s="68" t="str">
        <f ca="1">_xll.PALO.DATAC("jedoxtest/EU_PM_CUBE02","#_Staatengruppen_und_NUTS","Bezeichnung",$D39)</f>
        <v>FR</v>
      </c>
      <c r="F39" s="351">
        <f t="shared" ca="1" si="0"/>
        <v>0.11106982340658952</v>
      </c>
      <c r="G39" s="351">
        <f t="shared" ca="1" si="1"/>
        <v>0.12468656784980101</v>
      </c>
      <c r="H39" s="351">
        <f t="shared" ca="1" si="2"/>
        <v>0.11520508491409276</v>
      </c>
      <c r="I39" s="349">
        <f ca="1">_xll.PALO.DATAC("jedoxtest/EU_PM_CUBE02","EUPM_Mittel2_Cube",Bet_Anteile_EU_Datenstand,"Alle Beteiligungen","Alle Koordinatoren","Alle Unternehmensgrößen","-2","Alle Organisationstypen",28,"Alle Expertevaluierungsstatus","-2","-2",$D39,"-2","Alle","-2","anzahl_beteiligungen")</f>
        <v>12554</v>
      </c>
      <c r="J39" s="349">
        <f ca="1">_xll.PALO.DATAC("jedoxtest/EU_PM_CUBE02","EUPM_Mittel2_Cube",Bet_Anteile_EU_Datenstand,"Alle Beteiligungen","Alle Koordinatoren","Alle Unternehmensgrößen","-2","Alle Organisationstypen",28,"Alle Expertevaluierungsstatus","-2","-2",$D39,"-2","Alle","-2","foerderung")</f>
        <v>6433457638.3000402</v>
      </c>
      <c r="K39" s="349">
        <f ca="1">_xll.PALO.DATAC("jedoxtest/EU_PM_CUBE02","EUPM_Mittel2_Cube",Bet_Anteile_EU_Datenstand,"Alle Beteiligungen","Alle Koordinatoren","Alle Unternehmensgrößen","-2","Alle Organisationstypen",28,"Alle Expertevaluierungsstatus","-2","-2",$D39,"-2","Alle","-2","anzahl_koordinatoren")</f>
        <v>2320</v>
      </c>
    </row>
    <row r="40" spans="1:11" ht="15" customHeight="1">
      <c r="D40" s="107">
        <v>1349</v>
      </c>
      <c r="E40" s="68" t="str">
        <f ca="1">_xll.PALO.DATAC("jedoxtest/EU_PM_CUBE02","#_Staatengruppen_und_NUTS","Bezeichnung",$D40)</f>
        <v>NL</v>
      </c>
      <c r="F40" s="351">
        <f t="shared" ca="1" si="0"/>
        <v>7.5609583466043809E-2</v>
      </c>
      <c r="G40" s="351">
        <f t="shared" ca="1" si="1"/>
        <v>9.5566049016097956E-2</v>
      </c>
      <c r="H40" s="351">
        <f t="shared" ca="1" si="2"/>
        <v>8.9929486542854306E-2</v>
      </c>
      <c r="I40" s="349">
        <f ca="1">_xll.PALO.DATAC("jedoxtest/EU_PM_CUBE02","EUPM_Mittel2_Cube",Bet_Anteile_EU_Datenstand,"Alle Beteiligungen","Alle Koordinatoren","Alle Unternehmensgrößen","-2","Alle Organisationstypen",28,"Alle Expertevaluierungsstatus","-2","-2",$D40,"-2","Alle","-2","anzahl_beteiligungen")</f>
        <v>8546</v>
      </c>
      <c r="J40" s="349">
        <f ca="1">_xll.PALO.DATAC("jedoxtest/EU_PM_CUBE02","EUPM_Mittel2_Cube",Bet_Anteile_EU_Datenstand,"Alle Beteiligungen","Alle Koordinatoren","Alle Unternehmensgrößen","-2","Alle Organisationstypen",28,"Alle Expertevaluierungsstatus","-2","-2",$D40,"-2","Alle","-2","foerderung")</f>
        <v>4930925107.7100096</v>
      </c>
      <c r="K40" s="349">
        <f ca="1">_xll.PALO.DATAC("jedoxtest/EU_PM_CUBE02","EUPM_Mittel2_Cube",Bet_Anteile_EU_Datenstand,"Alle Beteiligungen","Alle Koordinatoren","Alle Unternehmensgrößen","-2","Alle Organisationstypen",28,"Alle Expertevaluierungsstatus","-2","-2",$D40,"-2","Alle","-2","anzahl_koordinatoren")</f>
        <v>1811</v>
      </c>
    </row>
    <row r="41" spans="1:11">
      <c r="D41" s="107">
        <v>52</v>
      </c>
      <c r="E41" s="68" t="str">
        <f ca="1">_xll.PALO.DATAC("jedoxtest/EU_PM_CUBE02","#_Staatengruppen_und_NUTS","Bezeichnung",$D41)</f>
        <v>BE</v>
      </c>
      <c r="F41" s="351">
        <f t="shared" ca="1" si="0"/>
        <v>6.5550129171532717E-2</v>
      </c>
      <c r="G41" s="351">
        <f t="shared" ca="1" si="1"/>
        <v>8.3034384262128447E-2</v>
      </c>
      <c r="H41" s="351">
        <f t="shared" ca="1" si="2"/>
        <v>6.2816565696692819E-2</v>
      </c>
      <c r="I41" s="349">
        <f ca="1">_xll.PALO.DATAC("jedoxtest/EU_PM_CUBE02","EUPM_Mittel2_Cube",Bet_Anteile_EU_Datenstand,"Alle Beteiligungen","Alle Koordinatoren","Alle Unternehmensgrößen","-2","Alle Organisationstypen",28,"Alle Expertevaluierungsstatus","-2","-2",$D41,"-2","Alle","-2","anzahl_beteiligungen")</f>
        <v>7409</v>
      </c>
      <c r="J41" s="349">
        <f ca="1">_xll.PALO.DATAC("jedoxtest/EU_PM_CUBE02","EUPM_Mittel2_Cube",Bet_Anteile_EU_Datenstand,"Alle Beteiligungen","Alle Koordinatoren","Alle Unternehmensgrößen","-2","Alle Organisationstypen",28,"Alle Expertevaluierungsstatus","-2","-2",$D41,"-2","Alle","-2","foerderung")</f>
        <v>4284328319.2800102</v>
      </c>
      <c r="K41" s="349">
        <f ca="1">_xll.PALO.DATAC("jedoxtest/EU_PM_CUBE02","EUPM_Mittel2_Cube",Bet_Anteile_EU_Datenstand,"Alle Beteiligungen","Alle Koordinatoren","Alle Unternehmensgrößen","-2","Alle Organisationstypen",28,"Alle Expertevaluierungsstatus","-2","-2",$D41,"-2","Alle","-2","anzahl_koordinatoren")</f>
        <v>1265</v>
      </c>
    </row>
    <row r="42" spans="1:11">
      <c r="D42" s="107">
        <v>743</v>
      </c>
      <c r="E42" s="68" t="str">
        <f ca="1">_xll.PALO.DATAC("jedoxtest/EU_PM_CUBE02","#_Staatengruppen_und_NUTS","Bezeichnung",$D42)</f>
        <v>EL</v>
      </c>
      <c r="F42" s="351">
        <f t="shared" ca="1" si="0"/>
        <v>5.2013660331953142E-2</v>
      </c>
      <c r="G42" s="351">
        <f t="shared" ca="1" si="1"/>
        <v>4.0797436643545737E-2</v>
      </c>
      <c r="H42" s="351">
        <f t="shared" ca="1" si="2"/>
        <v>3.4164266560730953E-2</v>
      </c>
      <c r="I42" s="349">
        <f ca="1">_xll.PALO.DATAC("jedoxtest/EU_PM_CUBE02","EUPM_Mittel2_Cube",Bet_Anteile_EU_Datenstand,"Alle Beteiligungen","Alle Koordinatoren","Alle Unternehmensgrößen","-2","Alle Organisationstypen",28,"Alle Expertevaluierungsstatus","-2","-2",$D42,"-2","Alle","-2","anzahl_beteiligungen")</f>
        <v>5879</v>
      </c>
      <c r="J42" s="349">
        <f ca="1">_xll.PALO.DATAC("jedoxtest/EU_PM_CUBE02","EUPM_Mittel2_Cube",Bet_Anteile_EU_Datenstand,"Alle Beteiligungen","Alle Koordinatoren","Alle Unternehmensgrößen","-2","Alle Organisationstypen",28,"Alle Expertevaluierungsstatus","-2","-2",$D42,"-2","Alle","-2","foerderung")</f>
        <v>2105026908.06001</v>
      </c>
      <c r="K42" s="349">
        <f ca="1">_xll.PALO.DATAC("jedoxtest/EU_PM_CUBE02","EUPM_Mittel2_Cube",Bet_Anteile_EU_Datenstand,"Alle Beteiligungen","Alle Koordinatoren","Alle Unternehmensgrößen","-2","Alle Organisationstypen",28,"Alle Expertevaluierungsstatus","-2","-2",$D42,"-2","Alle","-2","anzahl_koordinatoren")</f>
        <v>688</v>
      </c>
    </row>
    <row r="43" spans="1:11">
      <c r="D43" s="107">
        <v>1</v>
      </c>
      <c r="E43" s="68" t="str">
        <f ca="1">_xll.PALO.DATAC("jedoxtest/EU_PM_CUBE02","#_Staatengruppen_und_NUTS","Bezeichnung",$D43)</f>
        <v>AT</v>
      </c>
      <c r="F43" s="351">
        <f t="shared" ca="1" si="0"/>
        <v>3.4672824432883886E-2</v>
      </c>
      <c r="G43" s="351">
        <f t="shared" ca="1" si="1"/>
        <v>3.5974963339296763E-2</v>
      </c>
      <c r="H43" s="351">
        <f t="shared" ca="1" si="2"/>
        <v>3.8434799880822323E-2</v>
      </c>
      <c r="I43" s="349">
        <f ca="1">_xll.PALO.DATAC("jedoxtest/EU_PM_CUBE02","EUPM_Mittel2_Cube",Bet_Anteile_EU_Datenstand,"Alle Beteiligungen","Alle Koordinatoren","Alle Unternehmensgrößen","-2","Alle Organisationstypen",28,"Alle Expertevaluierungsstatus","-2","-2",$D43,"-2","Alle","-2","anzahl_beteiligungen")</f>
        <v>3919</v>
      </c>
      <c r="J43" s="349">
        <f ca="1">_xll.PALO.DATAC("jedoxtest/EU_PM_CUBE02","EUPM_Mittel2_Cube",Bet_Anteile_EU_Datenstand,"Alle Beteiligungen","Alle Koordinatoren","Alle Unternehmensgrößen","-2","Alle Organisationstypen",28,"Alle Expertevaluierungsstatus","-2","-2",$D43,"-2","Alle","-2","foerderung")</f>
        <v>1856201567.4500101</v>
      </c>
      <c r="K43" s="349">
        <f ca="1">_xll.PALO.DATAC("jedoxtest/EU_PM_CUBE02","EUPM_Mittel2_Cube",Bet_Anteile_EU_Datenstand,"Alle Beteiligungen","Alle Koordinatoren","Alle Unternehmensgrößen","-2","Alle Organisationstypen",28,"Alle Expertevaluierungsstatus","-2","-2",$D43,"-2","Alle","-2","anzahl_koordinatoren")</f>
        <v>774</v>
      </c>
    </row>
    <row r="44" spans="1:11">
      <c r="D44" s="107">
        <v>1529</v>
      </c>
      <c r="E44" s="68" t="str">
        <f ca="1">_xll.PALO.DATAC("jedoxtest/EU_PM_CUBE02","#_Staatengruppen_und_NUTS","Bezeichnung",$D44)</f>
        <v>PT</v>
      </c>
      <c r="F44" s="351">
        <f t="shared" ca="1" si="0"/>
        <v>3.4460487666772836E-2</v>
      </c>
      <c r="G44" s="351">
        <f t="shared" ca="1" si="1"/>
        <v>2.4843550766061599E-2</v>
      </c>
      <c r="H44" s="351">
        <f t="shared" ca="1" si="2"/>
        <v>2.8850928592710299E-2</v>
      </c>
      <c r="I44" s="349">
        <f ca="1">_xll.PALO.DATAC("jedoxtest/EU_PM_CUBE02","EUPM_Mittel2_Cube",Bet_Anteile_EU_Datenstand,"Alle Beteiligungen","Alle Koordinatoren","Alle Unternehmensgrößen","-2","Alle Organisationstypen",28,"Alle Expertevaluierungsstatus","-2","-2",$D44,"-2","Alle","-2","anzahl_beteiligungen")</f>
        <v>3895</v>
      </c>
      <c r="J44" s="349">
        <f ca="1">_xll.PALO.DATAC("jedoxtest/EU_PM_CUBE02","EUPM_Mittel2_Cube",Bet_Anteile_EU_Datenstand,"Alle Beteiligungen","Alle Koordinatoren","Alle Unternehmensgrößen","-2","Alle Organisationstypen",28,"Alle Expertevaluierungsstatus","-2","-2",$D44,"-2","Alle","-2","foerderung")</f>
        <v>1281853644.6600001</v>
      </c>
      <c r="K44" s="349">
        <f ca="1">_xll.PALO.DATAC("jedoxtest/EU_PM_CUBE02","EUPM_Mittel2_Cube",Bet_Anteile_EU_Datenstand,"Alle Beteiligungen","Alle Koordinatoren","Alle Unternehmensgrößen","-2","Alle Organisationstypen",28,"Alle Expertevaluierungsstatus","-2","-2",$D44,"-2","Alle","-2","anzahl_koordinatoren")</f>
        <v>581</v>
      </c>
    </row>
    <row r="45" spans="1:11">
      <c r="D45" s="107">
        <v>1631</v>
      </c>
      <c r="E45" s="68" t="str">
        <f ca="1">_xll.PALO.DATAC("jedoxtest/EU_PM_CUBE02","#_Staatengruppen_und_NUTS","Bezeichnung",$D45)</f>
        <v>SE</v>
      </c>
      <c r="F45" s="351">
        <f t="shared" ca="1" si="0"/>
        <v>3.444279293626358E-2</v>
      </c>
      <c r="G45" s="351">
        <f t="shared" ca="1" si="1"/>
        <v>3.7995700761588404E-2</v>
      </c>
      <c r="H45" s="351">
        <f t="shared" ca="1" si="2"/>
        <v>4.3946767305591418E-2</v>
      </c>
      <c r="I45" s="349">
        <f ca="1">_xll.PALO.DATAC("jedoxtest/EU_PM_CUBE02","EUPM_Mittel2_Cube",Bet_Anteile_EU_Datenstand,"Alle Beteiligungen","Alle Koordinatoren","Alle Unternehmensgrößen","-2","Alle Organisationstypen",28,"Alle Expertevaluierungsstatus","-2","-2",$D45,"-2","Alle","-2","anzahl_beteiligungen")</f>
        <v>3893</v>
      </c>
      <c r="J45" s="349">
        <f ca="1">_xll.PALO.DATAC("jedoxtest/EU_PM_CUBE02","EUPM_Mittel2_Cube",Bet_Anteile_EU_Datenstand,"Alle Beteiligungen","Alle Koordinatoren","Alle Unternehmensgrößen","-2","Alle Organisationstypen",28,"Alle Expertevaluierungsstatus","-2","-2",$D45,"-2","Alle","-2","foerderung")</f>
        <v>1960465633.97</v>
      </c>
      <c r="K45" s="349">
        <f ca="1">_xll.PALO.DATAC("jedoxtest/EU_PM_CUBE02","EUPM_Mittel2_Cube",Bet_Anteile_EU_Datenstand,"Alle Beteiligungen","Alle Koordinatoren","Alle Unternehmensgrößen","-2","Alle Organisationstypen",28,"Alle Expertevaluierungsstatus","-2","-2",$D45,"-2","Alle","-2","anzahl_koordinatoren")</f>
        <v>885</v>
      </c>
    </row>
    <row r="46" spans="1:11">
      <c r="D46" s="107">
        <v>711</v>
      </c>
      <c r="E46" s="68" t="str">
        <f ca="1">_xll.PALO.DATAC("jedoxtest/EU_PM_CUBE02","#_Staatengruppen_und_NUTS","Bezeichnung",$D46)</f>
        <v>DK</v>
      </c>
      <c r="F46" s="351">
        <f t="shared" ca="1" si="0"/>
        <v>3.031107336235269E-2</v>
      </c>
      <c r="G46" s="351">
        <f t="shared" ca="1" si="1"/>
        <v>3.2072001901521402E-2</v>
      </c>
      <c r="H46" s="351">
        <f t="shared" ca="1" si="2"/>
        <v>4.623100605819843E-2</v>
      </c>
      <c r="I46" s="349">
        <f ca="1">_xll.PALO.DATAC("jedoxtest/EU_PM_CUBE02","EUPM_Mittel2_Cube",Bet_Anteile_EU_Datenstand,"Alle Beteiligungen","Alle Koordinatoren","Alle Unternehmensgrößen","-2","Alle Organisationstypen",28,"Alle Expertevaluierungsstatus","-2","-2",$D46,"-2","Alle","-2","anzahl_beteiligungen")</f>
        <v>3426</v>
      </c>
      <c r="J46" s="349">
        <f ca="1">_xll.PALO.DATAC("jedoxtest/EU_PM_CUBE02","EUPM_Mittel2_Cube",Bet_Anteile_EU_Datenstand,"Alle Beteiligungen","Alle Koordinatoren","Alle Unternehmensgrößen","-2","Alle Organisationstypen",28,"Alle Expertevaluierungsstatus","-2","-2",$D46,"-2","Alle","-2","foerderung")</f>
        <v>1654820315.99</v>
      </c>
      <c r="K46" s="349">
        <f ca="1">_xll.PALO.DATAC("jedoxtest/EU_PM_CUBE02","EUPM_Mittel2_Cube",Bet_Anteile_EU_Datenstand,"Alle Beteiligungen","Alle Koordinatoren","Alle Unternehmensgrößen","-2","Alle Organisationstypen",28,"Alle Expertevaluierungsstatus","-2","-2",$D46,"-2","Alle","-2","anzahl_koordinatoren")</f>
        <v>931</v>
      </c>
    </row>
    <row r="47" spans="1:11">
      <c r="D47" s="107">
        <v>904</v>
      </c>
      <c r="E47" s="68" t="str">
        <f ca="1">_xll.PALO.DATAC("jedoxtest/EU_PM_CUBE02","#_Staatengruppen_und_NUTS","Bezeichnung",$D47)</f>
        <v>FI</v>
      </c>
      <c r="F47" s="351">
        <f t="shared" ca="1" si="0"/>
        <v>2.9152068513996533E-2</v>
      </c>
      <c r="G47" s="351">
        <f t="shared" ca="1" si="1"/>
        <v>3.1745653325350585E-2</v>
      </c>
      <c r="H47" s="351">
        <f t="shared" ca="1" si="2"/>
        <v>3.0737908431820438E-2</v>
      </c>
      <c r="I47" s="349">
        <f ca="1">_xll.PALO.DATAC("jedoxtest/EU_PM_CUBE02","EUPM_Mittel2_Cube",Bet_Anteile_EU_Datenstand,"Alle Beteiligungen","Alle Koordinatoren","Alle Unternehmensgrößen","-2","Alle Organisationstypen",28,"Alle Expertevaluierungsstatus","-2","-2",$D47,"-2","Alle","-2","anzahl_beteiligungen")</f>
        <v>3295</v>
      </c>
      <c r="J47" s="349">
        <f ca="1">_xll.PALO.DATAC("jedoxtest/EU_PM_CUBE02","EUPM_Mittel2_Cube",Bet_Anteile_EU_Datenstand,"Alle Beteiligungen","Alle Koordinatoren","Alle Unternehmensgrößen","-2","Alle Organisationstypen",28,"Alle Expertevaluierungsstatus","-2","-2",$D47,"-2","Alle","-2","foerderung")</f>
        <v>1637981695.95</v>
      </c>
      <c r="K47" s="349">
        <f ca="1">_xll.PALO.DATAC("jedoxtest/EU_PM_CUBE02","EUPM_Mittel2_Cube",Bet_Anteile_EU_Datenstand,"Alle Beteiligungen","Alle Koordinatoren","Alle Unternehmensgrößen","-2","Alle Organisationstypen",28,"Alle Expertevaluierungsstatus","-2","-2",$D47,"-2","Alle","-2","anzahl_koordinatoren")</f>
        <v>619</v>
      </c>
    </row>
    <row r="48" spans="1:11">
      <c r="D48" s="107">
        <v>1134</v>
      </c>
      <c r="E48" s="68" t="str">
        <f ca="1">_xll.PALO.DATAC("jedoxtest/EU_PM_CUBE02","#_Staatengruppen_und_NUTS","Bezeichnung",$D48)</f>
        <v>IE</v>
      </c>
      <c r="F48" s="351">
        <f t="shared" ca="1" si="0"/>
        <v>2.227766571115122E-2</v>
      </c>
      <c r="G48" s="351">
        <f t="shared" ca="1" si="1"/>
        <v>2.2850653894943583E-2</v>
      </c>
      <c r="H48" s="351">
        <f t="shared" ca="1" si="2"/>
        <v>2.9546131691329823E-2</v>
      </c>
      <c r="I48" s="349">
        <f ca="1">_xll.PALO.DATAC("jedoxtest/EU_PM_CUBE02","EUPM_Mittel2_Cube",Bet_Anteile_EU_Datenstand,"Alle Beteiligungen","Alle Koordinatoren","Alle Unternehmensgrößen","-2","Alle Organisationstypen",28,"Alle Expertevaluierungsstatus","-2","-2",$D48,"-2","Alle","-2","anzahl_beteiligungen")</f>
        <v>2518</v>
      </c>
      <c r="J48" s="349">
        <f ca="1">_xll.PALO.DATAC("jedoxtest/EU_PM_CUBE02","EUPM_Mittel2_Cube",Bet_Anteile_EU_Datenstand,"Alle Beteiligungen","Alle Koordinatoren","Alle Unternehmensgrößen","-2","Alle Organisationstypen",28,"Alle Expertevaluierungsstatus","-2","-2",$D48,"-2","Alle","-2","foerderung")</f>
        <v>1179026068.1300001</v>
      </c>
      <c r="K48" s="349">
        <f ca="1">_xll.PALO.DATAC("jedoxtest/EU_PM_CUBE02","EUPM_Mittel2_Cube",Bet_Anteile_EU_Datenstand,"Alle Beteiligungen","Alle Koordinatoren","Alle Unternehmensgrößen","-2","Alle Organisationstypen",28,"Alle Expertevaluierungsstatus","-2","-2",$D48,"-2","Alle","-2","anzahl_koordinatoren")</f>
        <v>595</v>
      </c>
    </row>
    <row r="49" spans="4:11">
      <c r="D49" s="107">
        <v>1437</v>
      </c>
      <c r="E49" s="68" t="str">
        <f ca="1">_xll.PALO.DATAC("jedoxtest/EU_PM_CUBE02","#_Staatengruppen_und_NUTS","Bezeichnung",$D49)</f>
        <v>PL</v>
      </c>
      <c r="F49" s="351">
        <f t="shared" ca="1" si="0"/>
        <v>2.1375234455179248E-2</v>
      </c>
      <c r="G49" s="351">
        <f t="shared" ca="1" si="1"/>
        <v>1.704807966615517E-2</v>
      </c>
      <c r="H49" s="351">
        <f t="shared" ca="1" si="2"/>
        <v>1.2166054225841692E-2</v>
      </c>
      <c r="I49" s="349">
        <f ca="1">_xll.PALO.DATAC("jedoxtest/EU_PM_CUBE02","EUPM_Mittel2_Cube",Bet_Anteile_EU_Datenstand,"Alle Beteiligungen","Alle Koordinatoren","Alle Unternehmensgrößen","-2","Alle Organisationstypen",28,"Alle Expertevaluierungsstatus","-2","-2",$D49,"-2","Alle","-2","anzahl_beteiligungen")</f>
        <v>2416</v>
      </c>
      <c r="J49" s="349">
        <f ca="1">_xll.PALO.DATAC("jedoxtest/EU_PM_CUBE02","EUPM_Mittel2_Cube",Bet_Anteile_EU_Datenstand,"Alle Beteiligungen","Alle Koordinatoren","Alle Unternehmensgrößen","-2","Alle Organisationstypen",28,"Alle Expertevaluierungsstatus","-2","-2",$D49,"-2","Alle","-2","foerderung")</f>
        <v>879630422.40999997</v>
      </c>
      <c r="K49" s="349">
        <f ca="1">_xll.PALO.DATAC("jedoxtest/EU_PM_CUBE02","EUPM_Mittel2_Cube",Bet_Anteile_EU_Datenstand,"Alle Beteiligungen","Alle Koordinatoren","Alle Unternehmensgrößen","-2","Alle Organisationstypen",28,"Alle Expertevaluierungsstatus","-2","-2",$D49,"-2","Alle","-2","anzahl_koordinatoren")</f>
        <v>245</v>
      </c>
    </row>
    <row r="50" spans="4:11">
      <c r="D50" s="107">
        <v>196</v>
      </c>
      <c r="E50" s="68" t="str">
        <f ca="1">_xll.PALO.DATAC("jedoxtest/EU_PM_CUBE02","#_Staatengruppen_und_NUTS","Bezeichnung",$D50)</f>
        <v>CZ</v>
      </c>
      <c r="F50" s="351">
        <f t="shared" ca="1" si="0"/>
        <v>1.6774604522773118E-2</v>
      </c>
      <c r="G50" s="351">
        <f t="shared" ca="1" si="1"/>
        <v>1.2454244690371123E-2</v>
      </c>
      <c r="H50" s="351">
        <f t="shared" ca="1" si="2"/>
        <v>1.6287615453371734E-2</v>
      </c>
      <c r="I50" s="349">
        <f ca="1">_xll.PALO.DATAC("jedoxtest/EU_PM_CUBE02","EUPM_Mittel2_Cube",Bet_Anteile_EU_Datenstand,"Alle Beteiligungen","Alle Koordinatoren","Alle Unternehmensgrößen","-2","Alle Organisationstypen",28,"Alle Expertevaluierungsstatus","-2","-2",$D50,"-2","Alle","-2","anzahl_beteiligungen")</f>
        <v>1896</v>
      </c>
      <c r="J50" s="349">
        <f ca="1">_xll.PALO.DATAC("jedoxtest/EU_PM_CUBE02","EUPM_Mittel2_Cube",Bet_Anteile_EU_Datenstand,"Alle Beteiligungen","Alle Koordinatoren","Alle Unternehmensgrößen","-2","Alle Organisationstypen",28,"Alle Expertevaluierungsstatus","-2","-2",$D50,"-2","Alle","-2","foerderung")</f>
        <v>642602142.43000102</v>
      </c>
      <c r="K50" s="349">
        <f ca="1">_xll.PALO.DATAC("jedoxtest/EU_PM_CUBE02","EUPM_Mittel2_Cube",Bet_Anteile_EU_Datenstand,"Alle Beteiligungen","Alle Koordinatoren","Alle Unternehmensgrößen","-2","Alle Organisationstypen",28,"Alle Expertevaluierungsstatus","-2","-2",$D50,"-2","Alle","-2","anzahl_koordinatoren")</f>
        <v>328</v>
      </c>
    </row>
    <row r="51" spans="4:11">
      <c r="D51" s="107">
        <v>1573</v>
      </c>
      <c r="E51" s="68" t="str">
        <f ca="1">_xll.PALO.DATAC("jedoxtest/EU_PM_CUBE02","#_Staatengruppen_und_NUTS","Bezeichnung",$D51)</f>
        <v>RO</v>
      </c>
      <c r="F51" s="351">
        <f t="shared" ca="1" si="0"/>
        <v>1.2634037583607602E-2</v>
      </c>
      <c r="G51" s="351">
        <f t="shared" ca="1" si="1"/>
        <v>7.0563189202590658E-3</v>
      </c>
      <c r="H51" s="351">
        <f t="shared" ca="1" si="2"/>
        <v>3.9229317707816071E-3</v>
      </c>
      <c r="I51" s="349">
        <f ca="1">_xll.PALO.DATAC("jedoxtest/EU_PM_CUBE02","EUPM_Mittel2_Cube",Bet_Anteile_EU_Datenstand,"Alle Beteiligungen","Alle Koordinatoren","Alle Unternehmensgrößen","-2","Alle Organisationstypen",28,"Alle Expertevaluierungsstatus","-2","-2",$D51,"-2","Alle","-2","anzahl_beteiligungen")</f>
        <v>1428</v>
      </c>
      <c r="J51" s="349">
        <f ca="1">_xll.PALO.DATAC("jedoxtest/EU_PM_CUBE02","EUPM_Mittel2_Cube",Bet_Anteile_EU_Datenstand,"Alle Beteiligungen","Alle Koordinatoren","Alle Unternehmensgrößen","-2","Alle Organisationstypen",28,"Alle Expertevaluierungsstatus","-2","-2",$D51,"-2","Alle","-2","foerderung")</f>
        <v>364085158.80000001</v>
      </c>
      <c r="K51" s="349">
        <f ca="1">_xll.PALO.DATAC("jedoxtest/EU_PM_CUBE02","EUPM_Mittel2_Cube",Bet_Anteile_EU_Datenstand,"Alle Beteiligungen","Alle Koordinatoren","Alle Unternehmensgrößen","-2","Alle Organisationstypen",28,"Alle Expertevaluierungsstatus","-2","-2",$D51,"-2","Alle","-2","anzahl_koordinatoren")</f>
        <v>79</v>
      </c>
    </row>
    <row r="52" spans="4:11">
      <c r="D52" s="107">
        <v>1667</v>
      </c>
      <c r="E52" s="68" t="str">
        <f ca="1">_xll.PALO.DATAC("jedoxtest/EU_PM_CUBE02","#_Staatengruppen_und_NUTS","Bezeichnung",$D52)</f>
        <v>SI</v>
      </c>
      <c r="F52" s="351">
        <f t="shared" ca="1" si="0"/>
        <v>1.2536716565806703E-2</v>
      </c>
      <c r="G52" s="351">
        <f t="shared" ca="1" si="1"/>
        <v>8.6660934292149602E-3</v>
      </c>
      <c r="H52" s="351">
        <f t="shared" ca="1" si="2"/>
        <v>7.5975767206276695E-3</v>
      </c>
      <c r="I52" s="349">
        <f ca="1">_xll.PALO.DATAC("jedoxtest/EU_PM_CUBE02","EUPM_Mittel2_Cube",Bet_Anteile_EU_Datenstand,"Alle Beteiligungen","Alle Koordinatoren","Alle Unternehmensgrößen","-2","Alle Organisationstypen",28,"Alle Expertevaluierungsstatus","-2","-2",$D52,"-2","Alle","-2","anzahl_beteiligungen")</f>
        <v>1417</v>
      </c>
      <c r="J52" s="349">
        <f ca="1">_xll.PALO.DATAC("jedoxtest/EU_PM_CUBE02","EUPM_Mittel2_Cube",Bet_Anteile_EU_Datenstand,"Alle Beteiligungen","Alle Koordinatoren","Alle Unternehmensgrößen","-2","Alle Organisationstypen",28,"Alle Expertevaluierungsstatus","-2","-2",$D52,"-2","Alle","-2","foerderung")</f>
        <v>447144756.06999999</v>
      </c>
      <c r="K52" s="349">
        <f ca="1">_xll.PALO.DATAC("jedoxtest/EU_PM_CUBE02","EUPM_Mittel2_Cube",Bet_Anteile_EU_Datenstand,"Alle Beteiligungen","Alle Koordinatoren","Alle Unternehmensgrößen","-2","Alle Organisationstypen",28,"Alle Expertevaluierungsstatus","-2","-2",$D52,"-2","Alle","-2","anzahl_koordinatoren")</f>
        <v>153</v>
      </c>
    </row>
    <row r="53" spans="4:11">
      <c r="D53" s="107">
        <v>189</v>
      </c>
      <c r="E53" s="68" t="str">
        <f ca="1">_xll.PALO.DATAC("jedoxtest/EU_PM_CUBE02","#_Staatengruppen_und_NUTS","Bezeichnung",$D53)</f>
        <v>CY</v>
      </c>
      <c r="F53" s="351">
        <f t="shared" ca="1" si="0"/>
        <v>1.0652227766571116E-2</v>
      </c>
      <c r="G53" s="351">
        <f t="shared" ca="1" si="1"/>
        <v>7.4973790908404916E-3</v>
      </c>
      <c r="H53" s="351">
        <f t="shared" ca="1" si="2"/>
        <v>6.4554573443241633E-3</v>
      </c>
      <c r="I53" s="349">
        <f ca="1">_xll.PALO.DATAC("jedoxtest/EU_PM_CUBE02","EUPM_Mittel2_Cube",Bet_Anteile_EU_Datenstand,"Alle Beteiligungen","Alle Koordinatoren","Alle Unternehmensgrößen","-2","Alle Organisationstypen",28,"Alle Expertevaluierungsstatus","-2","-2",$D53,"-2","Alle","-2","anzahl_beteiligungen")</f>
        <v>1204</v>
      </c>
      <c r="J53" s="349">
        <f ca="1">_xll.PALO.DATAC("jedoxtest/EU_PM_CUBE02","EUPM_Mittel2_Cube",Bet_Anteile_EU_Datenstand,"Alle Beteiligungen","Alle Koordinatoren","Alle Unternehmensgrößen","-2","Alle Organisationstypen",28,"Alle Expertevaluierungsstatus","-2","-2",$D53,"-2","Alle","-2","foerderung")</f>
        <v>386842557.38999999</v>
      </c>
      <c r="K53" s="349">
        <f ca="1">_xll.PALO.DATAC("jedoxtest/EU_PM_CUBE02","EUPM_Mittel2_Cube",Bet_Anteile_EU_Datenstand,"Alle Beteiligungen","Alle Koordinatoren","Alle Unternehmensgrößen","-2","Alle Organisationstypen",28,"Alle Expertevaluierungsstatus","-2","-2",$D53,"-2","Alle","-2","anzahl_koordinatoren")</f>
        <v>130</v>
      </c>
    </row>
    <row r="54" spans="4:11">
      <c r="D54" s="107">
        <v>1100</v>
      </c>
      <c r="E54" s="68" t="str">
        <f ca="1">_xll.PALO.DATAC("jedoxtest/EU_PM_CUBE02","#_Staatengruppen_und_NUTS","Bezeichnung",$D54)</f>
        <v>HU</v>
      </c>
      <c r="F54" s="351">
        <f t="shared" ca="1" si="0"/>
        <v>9.6347807622889897E-3</v>
      </c>
      <c r="G54" s="351">
        <f t="shared" ca="1" si="1"/>
        <v>5.0149714389117073E-3</v>
      </c>
      <c r="H54" s="351">
        <f t="shared" ca="1" si="2"/>
        <v>4.5188201410269139E-3</v>
      </c>
      <c r="I54" s="349">
        <f ca="1">_xll.PALO.DATAC("jedoxtest/EU_PM_CUBE02","EUPM_Mittel2_Cube",Bet_Anteile_EU_Datenstand,"Alle Beteiligungen","Alle Koordinatoren","Alle Unternehmensgrößen","-2","Alle Organisationstypen",28,"Alle Expertevaluierungsstatus","-2","-2",$D54,"-2","Alle","-2","anzahl_beteiligungen")</f>
        <v>1089</v>
      </c>
      <c r="J54" s="349">
        <f ca="1">_xll.PALO.DATAC("jedoxtest/EU_PM_CUBE02","EUPM_Mittel2_Cube",Bet_Anteile_EU_Datenstand,"Alle Beteiligungen","Alle Koordinatoren","Alle Unternehmensgrößen","-2","Alle Organisationstypen",28,"Alle Expertevaluierungsstatus","-2","-2",$D54,"-2","Alle","-2","foerderung")</f>
        <v>258757674.27000001</v>
      </c>
      <c r="K54" s="349">
        <f ca="1">_xll.PALO.DATAC("jedoxtest/EU_PM_CUBE02","EUPM_Mittel2_Cube",Bet_Anteile_EU_Datenstand,"Alle Beteiligungen","Alle Koordinatoren","Alle Unternehmensgrößen","-2","Alle Organisationstypen",28,"Alle Expertevaluierungsstatus","-2","-2",$D54,"-2","Alle","-2","anzahl_koordinatoren")</f>
        <v>91</v>
      </c>
    </row>
    <row r="55" spans="4:11">
      <c r="D55" s="107">
        <v>732</v>
      </c>
      <c r="E55" s="68" t="str">
        <f ca="1">_xll.PALO.DATAC("jedoxtest/EU_PM_CUBE02","#_Staatengruppen_und_NUTS","Bezeichnung",$D55)</f>
        <v>EE</v>
      </c>
      <c r="F55" s="351">
        <f t="shared" ca="1" si="0"/>
        <v>8.0068655554375902E-3</v>
      </c>
      <c r="G55" s="351">
        <f t="shared" ca="1" si="1"/>
        <v>6.3344195548498969E-3</v>
      </c>
      <c r="H55" s="351">
        <f t="shared" ca="1" si="2"/>
        <v>5.5616247889562018E-3</v>
      </c>
      <c r="I55" s="349">
        <f ca="1">_xll.PALO.DATAC("jedoxtest/EU_PM_CUBE02","EUPM_Mittel2_Cube",Bet_Anteile_EU_Datenstand,"Alle Beteiligungen","Alle Koordinatoren","Alle Unternehmensgrößen","-2","Alle Organisationstypen",28,"Alle Expertevaluierungsstatus","-2","-2",$D55,"-2","Alle","-2","anzahl_beteiligungen")</f>
        <v>905</v>
      </c>
      <c r="J55" s="349">
        <f ca="1">_xll.PALO.DATAC("jedoxtest/EU_PM_CUBE02","EUPM_Mittel2_Cube",Bet_Anteile_EU_Datenstand,"Alle Beteiligungen","Alle Koordinatoren","Alle Unternehmensgrößen","-2","Alle Organisationstypen",28,"Alle Expertevaluierungsstatus","-2","-2",$D55,"-2","Alle","-2","foerderung")</f>
        <v>326837289.47000003</v>
      </c>
      <c r="K55" s="349">
        <f ca="1">_xll.PALO.DATAC("jedoxtest/EU_PM_CUBE02","EUPM_Mittel2_Cube",Bet_Anteile_EU_Datenstand,"Alle Beteiligungen","Alle Koordinatoren","Alle Unternehmensgrößen","-2","Alle Organisationstypen",28,"Alle Expertevaluierungsstatus","-2","-2",$D55,"-2","Alle","-2","anzahl_koordinatoren")</f>
        <v>112</v>
      </c>
    </row>
    <row r="56" spans="4:11">
      <c r="D56" s="107">
        <v>114</v>
      </c>
      <c r="E56" s="68" t="str">
        <f ca="1">_xll.PALO.DATAC("jedoxtest/EU_PM_CUBE02","#_Staatengruppen_und_NUTS","Bezeichnung",$D56)</f>
        <v>BG</v>
      </c>
      <c r="F56" s="351">
        <f t="shared" ca="1" si="0"/>
        <v>7.1132816647202467E-3</v>
      </c>
      <c r="G56" s="351">
        <f t="shared" ca="1" si="1"/>
        <v>3.8764569673540644E-3</v>
      </c>
      <c r="H56" s="351">
        <f t="shared" ca="1" si="2"/>
        <v>2.0856092958585759E-3</v>
      </c>
      <c r="I56" s="349">
        <f ca="1">_xll.PALO.DATAC("jedoxtest/EU_PM_CUBE02","EUPM_Mittel2_Cube",Bet_Anteile_EU_Datenstand,"Alle Beteiligungen","Alle Koordinatoren","Alle Unternehmensgrößen","-2","Alle Organisationstypen",28,"Alle Expertevaluierungsstatus","-2","-2",$D56,"-2","Alle","-2","anzahl_beteiligungen")</f>
        <v>804</v>
      </c>
      <c r="J56" s="349">
        <f ca="1">_xll.PALO.DATAC("jedoxtest/EU_PM_CUBE02","EUPM_Mittel2_Cube",Bet_Anteile_EU_Datenstand,"Alle Beteiligungen","Alle Koordinatoren","Alle Unternehmensgrößen","-2","Alle Organisationstypen",28,"Alle Expertevaluierungsstatus","-2","-2",$D56,"-2","Alle","-2","foerderung")</f>
        <v>200013699.28</v>
      </c>
      <c r="K56" s="349">
        <f ca="1">_xll.PALO.DATAC("jedoxtest/EU_PM_CUBE02","EUPM_Mittel2_Cube",Bet_Anteile_EU_Datenstand,"Alle Beteiligungen","Alle Koordinatoren","Alle Unternehmensgrößen","-2","Alle Organisationstypen",28,"Alle Expertevaluierungsstatus","-2","-2",$D56,"-2","Alle","-2","anzahl_koordinatoren")</f>
        <v>42</v>
      </c>
    </row>
    <row r="57" spans="4:11">
      <c r="D57" s="107">
        <v>1074</v>
      </c>
      <c r="E57" s="68" t="str">
        <f ca="1">_xll.PALO.DATAC("jedoxtest/EU_PM_CUBE02","#_Staatengruppen_und_NUTS","Bezeichnung",$D57)</f>
        <v>HR</v>
      </c>
      <c r="F57" s="351">
        <f t="shared" ca="1" si="0"/>
        <v>6.6620660367342609E-3</v>
      </c>
      <c r="G57" s="351">
        <f t="shared" ca="1" si="1"/>
        <v>3.4798518375641816E-3</v>
      </c>
      <c r="H57" s="351">
        <f t="shared" ca="1" si="2"/>
        <v>2.2842387526070115E-3</v>
      </c>
      <c r="I57" s="349">
        <f ca="1">_xll.PALO.DATAC("jedoxtest/EU_PM_CUBE02","EUPM_Mittel2_Cube",Bet_Anteile_EU_Datenstand,"Alle Beteiligungen","Alle Koordinatoren","Alle Unternehmensgrößen","-2","Alle Organisationstypen",28,"Alle Expertevaluierungsstatus","-2","-2",$D57,"-2","Alle","-2","anzahl_beteiligungen")</f>
        <v>753</v>
      </c>
      <c r="J57" s="349">
        <f ca="1">_xll.PALO.DATAC("jedoxtest/EU_PM_CUBE02","EUPM_Mittel2_Cube",Bet_Anteile_EU_Datenstand,"Alle Beteiligungen","Alle Koordinatoren","Alle Unternehmensgrößen","-2","Alle Organisationstypen",28,"Alle Expertevaluierungsstatus","-2","-2",$D57,"-2","Alle","-2","foerderung")</f>
        <v>179550049.13999999</v>
      </c>
      <c r="K57" s="349">
        <f ca="1">_xll.PALO.DATAC("jedoxtest/EU_PM_CUBE02","EUPM_Mittel2_Cube",Bet_Anteile_EU_Datenstand,"Alle Beteiligungen","Alle Koordinatoren","Alle Unternehmensgrößen","-2","Alle Organisationstypen",28,"Alle Expertevaluierungsstatus","-2","-2",$D57,"-2","Alle","-2","anzahl_koordinatoren")</f>
        <v>46</v>
      </c>
    </row>
    <row r="58" spans="4:11">
      <c r="D58" s="107">
        <v>1295</v>
      </c>
      <c r="E58" s="68" t="str">
        <f ca="1">_xll.PALO.DATAC("jedoxtest/EU_PM_CUBE02","#_Staatengruppen_und_NUTS","Bezeichnung",$D58)</f>
        <v>LT</v>
      </c>
      <c r="F58" s="351">
        <f t="shared" ca="1" si="0"/>
        <v>6.4762713663870895E-3</v>
      </c>
      <c r="G58" s="351">
        <f t="shared" ca="1" si="1"/>
        <v>4.0203534038523525E-3</v>
      </c>
      <c r="H58" s="351">
        <f t="shared" ca="1" si="2"/>
        <v>3.7243023140331711E-3</v>
      </c>
      <c r="I58" s="349">
        <f ca="1">_xll.PALO.DATAC("jedoxtest/EU_PM_CUBE02","EUPM_Mittel2_Cube",Bet_Anteile_EU_Datenstand,"Alle Beteiligungen","Alle Koordinatoren","Alle Unternehmensgrößen","-2","Alle Organisationstypen",28,"Alle Expertevaluierungsstatus","-2","-2",$D58,"-2","Alle","-2","anzahl_beteiligungen")</f>
        <v>732</v>
      </c>
      <c r="J58" s="349">
        <f ca="1">_xll.PALO.DATAC("jedoxtest/EU_PM_CUBE02","EUPM_Mittel2_Cube",Bet_Anteile_EU_Datenstand,"Alle Beteiligungen","Alle Koordinatoren","Alle Unternehmensgrößen","-2","Alle Organisationstypen",28,"Alle Expertevaluierungsstatus","-2","-2",$D58,"-2","Alle","-2","foerderung")</f>
        <v>207438329.25</v>
      </c>
      <c r="K58" s="349">
        <f ca="1">_xll.PALO.DATAC("jedoxtest/EU_PM_CUBE02","EUPM_Mittel2_Cube",Bet_Anteile_EU_Datenstand,"Alle Beteiligungen","Alle Koordinatoren","Alle Unternehmensgrößen","-2","Alle Organisationstypen",28,"Alle Expertevaluierungsstatus","-2","-2",$D58,"-2","Alle","-2","anzahl_koordinatoren")</f>
        <v>75</v>
      </c>
    </row>
    <row r="59" spans="4:11">
      <c r="D59" s="107">
        <v>1311</v>
      </c>
      <c r="E59" s="68" t="str">
        <f ca="1">_xll.PALO.DATAC("jedoxtest/EU_PM_CUBE02","#_Staatengruppen_und_NUTS","Bezeichnung",$D59)</f>
        <v>LU</v>
      </c>
      <c r="F59" s="351">
        <f t="shared" ca="1" si="0"/>
        <v>5.6003822061790002E-3</v>
      </c>
      <c r="G59" s="351">
        <f t="shared" ca="1" si="1"/>
        <v>5.2777195241013476E-3</v>
      </c>
      <c r="H59" s="351">
        <f t="shared" ca="1" si="2"/>
        <v>5.7105968815175292E-3</v>
      </c>
      <c r="I59" s="349">
        <f ca="1">_xll.PALO.DATAC("jedoxtest/EU_PM_CUBE02","EUPM_Mittel2_Cube",Bet_Anteile_EU_Datenstand,"Alle Beteiligungen","Alle Koordinatoren","Alle Unternehmensgrößen","-2","Alle Organisationstypen",28,"Alle Expertevaluierungsstatus","-2","-2",$D59,"-2","Alle","-2","anzahl_beteiligungen")</f>
        <v>633</v>
      </c>
      <c r="J59" s="349">
        <f ca="1">_xll.PALO.DATAC("jedoxtest/EU_PM_CUBE02","EUPM_Mittel2_Cube",Bet_Anteile_EU_Datenstand,"Alle Beteiligungen","Alle Koordinatoren","Alle Unternehmensgrößen","-2","Alle Organisationstypen",28,"Alle Expertevaluierungsstatus","-2","-2",$D59,"-2","Alle","-2","foerderung")</f>
        <v>272314697.32999998</v>
      </c>
      <c r="K59" s="349">
        <f ca="1">_xll.PALO.DATAC("jedoxtest/EU_PM_CUBE02","EUPM_Mittel2_Cube",Bet_Anteile_EU_Datenstand,"Alle Beteiligungen","Alle Koordinatoren","Alle Unternehmensgrößen","-2","Alle Organisationstypen",28,"Alle Expertevaluierungsstatus","-2","-2",$D59,"-2","Alle","-2","anzahl_koordinatoren")</f>
        <v>115</v>
      </c>
    </row>
    <row r="60" spans="4:11">
      <c r="D60" s="107">
        <v>1686</v>
      </c>
      <c r="E60" s="68" t="str">
        <f ca="1">_xll.PALO.DATAC("jedoxtest/EU_PM_CUBE02","#_Staatengruppen_und_NUTS","Bezeichnung",$D60)</f>
        <v>SK</v>
      </c>
      <c r="F60" s="351">
        <f t="shared" ca="1" si="0"/>
        <v>5.2287928654846582E-3</v>
      </c>
      <c r="G60" s="351">
        <f t="shared" ca="1" si="1"/>
        <v>3.0567259984366885E-3</v>
      </c>
      <c r="H60" s="351">
        <f t="shared" ca="1" si="2"/>
        <v>2.0359519316714668E-3</v>
      </c>
      <c r="I60" s="349">
        <f ca="1">_xll.PALO.DATAC("jedoxtest/EU_PM_CUBE02","EUPM_Mittel2_Cube",Bet_Anteile_EU_Datenstand,"Alle Beteiligungen","Alle Koordinatoren","Alle Unternehmensgrößen","-2","Alle Organisationstypen",28,"Alle Expertevaluierungsstatus","-2","-2",$D60,"-2","Alle","-2","anzahl_beteiligungen")</f>
        <v>591</v>
      </c>
      <c r="J60" s="349">
        <f ca="1">_xll.PALO.DATAC("jedoxtest/EU_PM_CUBE02","EUPM_Mittel2_Cube",Bet_Anteile_EU_Datenstand,"Alle Beteiligungen","Alle Koordinatoren","Alle Unternehmensgrößen","-2","Alle Organisationstypen",28,"Alle Expertevaluierungsstatus","-2","-2",$D60,"-2","Alle","-2","foerderung")</f>
        <v>157718008.94</v>
      </c>
      <c r="K60" s="349">
        <f ca="1">_xll.PALO.DATAC("jedoxtest/EU_PM_CUBE02","EUPM_Mittel2_Cube",Bet_Anteile_EU_Datenstand,"Alle Beteiligungen","Alle Koordinatoren","Alle Unternehmensgrößen","-2","Alle Organisationstypen",28,"Alle Expertevaluierungsstatus","-2","-2",$D60,"-2","Alle","-2","anzahl_koordinatoren")</f>
        <v>41</v>
      </c>
    </row>
    <row r="61" spans="4:11">
      <c r="D61" s="107">
        <v>1318</v>
      </c>
      <c r="E61" s="68" t="str">
        <f ca="1">_xll.PALO.DATAC("jedoxtest/EU_PM_CUBE02","#_Staatengruppen_und_NUTS","Bezeichnung",$D61)</f>
        <v>LV</v>
      </c>
      <c r="F61" s="351">
        <f t="shared" ca="1" si="0"/>
        <v>4.361751070531196E-3</v>
      </c>
      <c r="G61" s="351">
        <f t="shared" ca="1" si="1"/>
        <v>2.5481203313848654E-3</v>
      </c>
      <c r="H61" s="351">
        <f t="shared" ca="1" si="2"/>
        <v>1.8869798391101401E-3</v>
      </c>
      <c r="I61" s="349">
        <f ca="1">_xll.PALO.DATAC("jedoxtest/EU_PM_CUBE02","EUPM_Mittel2_Cube",Bet_Anteile_EU_Datenstand,"Alle Beteiligungen","Alle Koordinatoren","Alle Unternehmensgrößen","-2","Alle Organisationstypen",28,"Alle Expertevaluierungsstatus","-2","-2",$D61,"-2","Alle","-2","anzahl_beteiligungen")</f>
        <v>493</v>
      </c>
      <c r="J61" s="349">
        <f ca="1">_xll.PALO.DATAC("jedoxtest/EU_PM_CUBE02","EUPM_Mittel2_Cube",Bet_Anteile_EU_Datenstand,"Alle Beteiligungen","Alle Koordinatoren","Alle Unternehmensgrößen","-2","Alle Organisationstypen",28,"Alle Expertevaluierungsstatus","-2","-2",$D61,"-2","Alle","-2","foerderung")</f>
        <v>131475462.77</v>
      </c>
      <c r="K61" s="349">
        <f ca="1">_xll.PALO.DATAC("jedoxtest/EU_PM_CUBE02","EUPM_Mittel2_Cube",Bet_Anteile_EU_Datenstand,"Alle Beteiligungen","Alle Koordinatoren","Alle Unternehmensgrößen","-2","Alle Organisationstypen",28,"Alle Expertevaluierungsstatus","-2","-2",$D61,"-2","Alle","-2","anzahl_koordinatoren")</f>
        <v>38</v>
      </c>
    </row>
    <row r="62" spans="4:11">
      <c r="D62" s="107">
        <v>1341</v>
      </c>
      <c r="E62" s="68" t="str">
        <f ca="1">_xll.PALO.DATAC("jedoxtest/EU_PM_CUBE02","#_Staatengruppen_und_NUTS","Bezeichnung",$D62)</f>
        <v>MT</v>
      </c>
      <c r="F62" s="351">
        <f t="shared" ca="1" si="0"/>
        <v>2.4861096365502355E-3</v>
      </c>
      <c r="G62" s="351">
        <f t="shared" ca="1" si="1"/>
        <v>1.2244350462898017E-3</v>
      </c>
      <c r="H62" s="351">
        <f t="shared" ca="1" si="2"/>
        <v>1.9862945674843581E-3</v>
      </c>
      <c r="I62" s="349">
        <f ca="1">_xll.PALO.DATAC("jedoxtest/EU_PM_CUBE02","EUPM_Mittel2_Cube",Bet_Anteile_EU_Datenstand,"Alle Beteiligungen","Alle Koordinatoren","Alle Unternehmensgrößen","-2","Alle Organisationstypen",28,"Alle Expertevaluierungsstatus","-2","-2",$D62,"-2","Alle","-2","anzahl_beteiligungen")</f>
        <v>281</v>
      </c>
      <c r="J62" s="349">
        <f ca="1">_xll.PALO.DATAC("jedoxtest/EU_PM_CUBE02","EUPM_Mittel2_Cube",Bet_Anteile_EU_Datenstand,"Alle Beteiligungen","Alle Koordinatoren","Alle Unternehmensgrößen","-2","Alle Organisationstypen",28,"Alle Expertevaluierungsstatus","-2","-2",$D62,"-2","Alle","-2","foerderung")</f>
        <v>63177222.189999998</v>
      </c>
      <c r="K62" s="349">
        <f ca="1">_xll.PALO.DATAC("jedoxtest/EU_PM_CUBE02","EUPM_Mittel2_Cube",Bet_Anteile_EU_Datenstand,"Alle Beteiligungen","Alle Koordinatoren","Alle Unternehmensgrößen","-2","Alle Organisationstypen",28,"Alle Expertevaluierungsstatus","-2","-2",$D62,"-2","Alle","-2","anzahl_koordinatoren")</f>
        <v>40</v>
      </c>
    </row>
    <row r="63" spans="4:11">
      <c r="D63" s="107">
        <v>10001</v>
      </c>
      <c r="E63" s="68" t="str">
        <f ca="1">_xll.PALO.DATAC("jedoxtest/EU_PM_CUBE02","#_Staatengruppen_und_NUTS","Bezeichnung",$D63)</f>
        <v>EU</v>
      </c>
      <c r="F63" s="351">
        <f t="shared" ca="1" si="0"/>
        <v>0</v>
      </c>
      <c r="G63" s="351">
        <f t="shared" ca="1" si="1"/>
        <v>0</v>
      </c>
      <c r="H63" s="351">
        <f t="shared" ca="1" si="2"/>
        <v>0</v>
      </c>
      <c r="I63" s="349">
        <f ca="1">_xll.PALO.DATAC("jedoxtest/EU_PM_CUBE02","EUPM_Mittel2_Cube",Bet_Anteile_EU_Datenstand,"Alle Beteiligungen","Alle Koordinatoren","Alle Unternehmensgrößen","-2","Alle Organisationstypen",28,"Alle Expertevaluierungsstatus","-2","-2",$D63,"-2","Alle","-2","anzahl_beteiligungen")</f>
        <v>0</v>
      </c>
      <c r="J63" s="349">
        <f ca="1">_xll.PALO.DATAC("jedoxtest/EU_PM_CUBE02","EUPM_Mittel2_Cube",Bet_Anteile_EU_Datenstand,"Alle Beteiligungen","Alle Koordinatoren","Alle Unternehmensgrößen","-2","Alle Organisationstypen",28,"Alle Expertevaluierungsstatus","-2","-2",$D63,"-2","Alle","-2","foerderung")</f>
        <v>0</v>
      </c>
      <c r="K63" s="349">
        <f ca="1">_xll.PALO.DATAC("jedoxtest/EU_PM_CUBE02","EUPM_Mittel2_Cube",Bet_Anteile_EU_Datenstand,"Alle Beteiligungen","Alle Koordinatoren","Alle Unternehmensgrößen","-2","Alle Organisationstypen",28,"Alle Expertevaluierungsstatus","-2","-2",$D63,"-2","Alle","-2","anzahl_koordinatoren")</f>
        <v>0</v>
      </c>
    </row>
    <row r="65" spans="9:9">
      <c r="I65" s="94">
        <f ca="1">SUM(I36:I63)</f>
        <v>113028</v>
      </c>
    </row>
  </sheetData>
  <sortState xmlns:xlrd2="http://schemas.microsoft.com/office/spreadsheetml/2017/richdata2" ref="D36:K63">
    <sortCondition descending="1" ref="I36:I63"/>
    <sortCondition ref="E36:E63"/>
  </sortState>
  <mergeCells count="2">
    <mergeCell ref="J26:K26"/>
    <mergeCell ref="C24:K24"/>
  </mergeCells>
  <pageMargins left="0.70866141732283472" right="0.70866141732283472" top="0.74803149606299213" bottom="0.74803149606299213" header="0.31496062992125984" footer="0.31496062992125984"/>
  <pageSetup paperSize="9" orientation="landscape"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IB58"/>
  <sheetViews>
    <sheetView topLeftCell="A3" zoomScaleNormal="100" workbookViewId="0">
      <selection activeCell="F14" sqref="F14:N14"/>
    </sheetView>
  </sheetViews>
  <sheetFormatPr baseColWidth="10" defaultColWidth="11.42578125" defaultRowHeight="15"/>
  <cols>
    <col min="1" max="1" width="6.7109375" style="113" customWidth="1"/>
    <col min="2" max="3" width="7.140625" style="113" customWidth="1"/>
    <col min="4" max="4" width="10.7109375" style="113" customWidth="1"/>
    <col min="5" max="5" width="13.140625" style="113" customWidth="1"/>
    <col min="6" max="6" width="28" style="113" customWidth="1"/>
    <col min="7" max="7" width="29.140625" style="113" hidden="1" customWidth="1"/>
    <col min="8" max="8" width="17.7109375" style="113" hidden="1" customWidth="1"/>
    <col min="9" max="9" width="14.7109375" style="113" hidden="1" customWidth="1"/>
    <col min="10" max="10" width="21.140625" style="113" hidden="1" customWidth="1"/>
    <col min="11" max="11" width="20.140625" style="113" hidden="1" customWidth="1"/>
    <col min="12" max="12" width="11.42578125" style="113" hidden="1" customWidth="1"/>
    <col min="13" max="15" width="20.85546875" style="113" customWidth="1"/>
    <col min="16" max="16" width="22.5703125" style="113" customWidth="1"/>
    <col min="17" max="17" width="21.7109375" style="113" customWidth="1"/>
    <col min="18" max="18" width="22.5703125" style="113" customWidth="1"/>
    <col min="19" max="236" width="11.42578125" style="113"/>
    <col min="237" max="16384" width="11.42578125" style="61"/>
  </cols>
  <sheetData>
    <row r="1" spans="1:236" s="522" customFormat="1">
      <c r="A1" s="108"/>
      <c r="B1" s="108"/>
      <c r="C1" s="108"/>
      <c r="D1" s="108"/>
      <c r="E1" s="108"/>
      <c r="F1"/>
      <c r="G1"/>
      <c r="H1"/>
      <c r="I1"/>
      <c r="J1"/>
      <c r="K1"/>
      <c r="L1" s="523"/>
      <c r="M1" s="523"/>
      <c r="N1" s="523"/>
      <c r="O1" s="559"/>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3"/>
      <c r="AP1" s="523"/>
      <c r="AQ1" s="523"/>
      <c r="AR1" s="523"/>
      <c r="AS1" s="523"/>
      <c r="AT1" s="523"/>
      <c r="AU1" s="523"/>
      <c r="AV1" s="523"/>
      <c r="AW1" s="523"/>
      <c r="AX1" s="523"/>
      <c r="AY1" s="523"/>
      <c r="AZ1" s="523"/>
      <c r="BA1" s="523"/>
      <c r="BB1" s="523"/>
      <c r="BC1" s="523"/>
      <c r="BD1" s="523"/>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c r="CO1" s="523"/>
      <c r="CP1" s="523"/>
      <c r="CQ1" s="523"/>
      <c r="CR1" s="523"/>
      <c r="CS1" s="523"/>
      <c r="CT1" s="523"/>
      <c r="CU1" s="523"/>
      <c r="CV1" s="523"/>
      <c r="CW1" s="523"/>
      <c r="CX1" s="523"/>
      <c r="CY1" s="523"/>
      <c r="CZ1" s="523"/>
      <c r="DA1" s="523"/>
      <c r="DB1" s="523"/>
      <c r="DC1" s="523"/>
      <c r="DD1" s="523"/>
      <c r="DE1" s="523"/>
      <c r="DF1" s="523"/>
      <c r="DG1" s="523"/>
      <c r="DH1" s="523"/>
      <c r="DI1" s="523"/>
      <c r="DJ1" s="523"/>
      <c r="DK1" s="523"/>
      <c r="DL1" s="523"/>
      <c r="DM1" s="523"/>
      <c r="DN1" s="523"/>
      <c r="DO1" s="523"/>
      <c r="DP1" s="523"/>
      <c r="DQ1" s="523"/>
      <c r="DR1" s="523"/>
      <c r="DS1" s="523"/>
      <c r="DT1" s="523"/>
      <c r="DU1" s="523"/>
      <c r="DV1" s="523"/>
      <c r="DW1" s="523"/>
      <c r="DX1" s="523"/>
      <c r="DY1" s="523"/>
      <c r="DZ1" s="523"/>
      <c r="EA1" s="523"/>
      <c r="EB1" s="523"/>
      <c r="EC1" s="523"/>
      <c r="ED1" s="523"/>
      <c r="EE1" s="523"/>
      <c r="EF1" s="523"/>
      <c r="EG1" s="523"/>
      <c r="EH1" s="523"/>
      <c r="EI1" s="523"/>
      <c r="EJ1" s="523"/>
      <c r="EK1" s="523"/>
      <c r="EL1" s="523"/>
      <c r="EM1" s="523"/>
      <c r="EN1" s="523"/>
      <c r="EO1" s="523"/>
      <c r="EP1" s="523"/>
      <c r="EQ1" s="523"/>
      <c r="ER1" s="523"/>
      <c r="ES1" s="523"/>
      <c r="ET1" s="523"/>
      <c r="EU1" s="523"/>
      <c r="EV1" s="523"/>
      <c r="EW1" s="523"/>
      <c r="EX1" s="523"/>
      <c r="EY1" s="523"/>
      <c r="EZ1" s="523"/>
      <c r="FA1" s="523"/>
      <c r="FB1" s="523"/>
      <c r="FC1" s="523"/>
      <c r="FD1" s="523"/>
      <c r="FE1" s="523"/>
      <c r="FF1" s="523"/>
      <c r="FG1" s="523"/>
      <c r="FH1" s="523"/>
      <c r="FI1" s="523"/>
      <c r="FJ1" s="523"/>
      <c r="FK1" s="523"/>
      <c r="FL1" s="523"/>
      <c r="FM1" s="523"/>
      <c r="FN1" s="523"/>
      <c r="FO1" s="523"/>
      <c r="FP1" s="523"/>
      <c r="FQ1" s="523"/>
      <c r="FR1" s="523"/>
      <c r="FS1" s="523"/>
      <c r="FT1" s="523"/>
      <c r="FU1" s="523"/>
      <c r="FV1" s="523"/>
      <c r="FW1" s="523"/>
      <c r="FX1" s="523"/>
      <c r="FY1" s="523"/>
      <c r="FZ1" s="523"/>
      <c r="GA1" s="523"/>
      <c r="GB1" s="523"/>
      <c r="GC1" s="523"/>
      <c r="GD1" s="523"/>
      <c r="GE1" s="523"/>
      <c r="GF1" s="523"/>
      <c r="GG1" s="523"/>
      <c r="GH1" s="523"/>
      <c r="GI1" s="523"/>
      <c r="GJ1" s="523"/>
      <c r="GK1" s="523"/>
      <c r="GL1" s="523"/>
      <c r="GM1" s="523"/>
      <c r="GN1" s="523"/>
      <c r="GO1" s="523"/>
      <c r="GP1" s="523"/>
      <c r="GQ1" s="523"/>
      <c r="GR1" s="523"/>
      <c r="GS1" s="523"/>
      <c r="GT1" s="523"/>
      <c r="GU1" s="523"/>
      <c r="GV1" s="523"/>
      <c r="GW1" s="523"/>
      <c r="GX1" s="523"/>
      <c r="GY1" s="523"/>
      <c r="GZ1" s="523"/>
      <c r="HA1" s="523"/>
      <c r="HB1" s="523"/>
      <c r="HC1" s="523"/>
      <c r="HD1" s="523"/>
      <c r="HE1" s="523"/>
      <c r="HF1" s="523"/>
      <c r="HG1" s="523"/>
      <c r="HH1" s="523"/>
      <c r="HI1" s="523"/>
      <c r="HJ1" s="523"/>
      <c r="HK1" s="523"/>
      <c r="HL1" s="523"/>
      <c r="HM1" s="523"/>
      <c r="HN1" s="523"/>
      <c r="HO1" s="523"/>
      <c r="HP1" s="523"/>
      <c r="HQ1" s="523"/>
      <c r="HR1" s="523"/>
      <c r="HS1" s="523"/>
      <c r="HT1" s="523"/>
      <c r="HU1" s="523"/>
      <c r="HV1" s="523"/>
      <c r="HW1" s="523"/>
      <c r="HX1" s="523"/>
      <c r="HY1" s="523"/>
      <c r="HZ1" s="523"/>
      <c r="IA1" s="523"/>
      <c r="IB1" s="523"/>
    </row>
    <row r="2" spans="1:236" s="522" customFormat="1" ht="23.25">
      <c r="C2" s="523"/>
      <c r="F2" s="751" t="s">
        <v>186</v>
      </c>
      <c r="G2" s="751"/>
      <c r="H2" s="751"/>
      <c r="I2" s="751"/>
      <c r="J2" s="751"/>
      <c r="K2" s="751"/>
      <c r="L2" s="751"/>
      <c r="M2" s="751"/>
      <c r="N2" s="751"/>
      <c r="O2" s="751"/>
      <c r="P2" s="751"/>
      <c r="Q2" s="751"/>
      <c r="R2" s="751"/>
      <c r="S2" s="523"/>
      <c r="T2" s="523"/>
      <c r="U2" s="523"/>
      <c r="V2" s="523"/>
      <c r="W2" s="523"/>
      <c r="X2" s="523"/>
      <c r="Y2" s="523"/>
      <c r="Z2" s="523"/>
      <c r="AA2" s="523"/>
      <c r="AB2" s="523"/>
      <c r="AC2" s="523"/>
      <c r="AD2" s="523"/>
      <c r="AE2" s="523"/>
      <c r="AF2" s="523"/>
      <c r="AG2" s="523"/>
      <c r="AH2" s="523"/>
      <c r="AI2" s="523"/>
      <c r="AJ2" s="523"/>
      <c r="AK2" s="523"/>
      <c r="AL2" s="523"/>
      <c r="AM2" s="523"/>
      <c r="AN2" s="523"/>
      <c r="AO2" s="523"/>
      <c r="AP2" s="523"/>
      <c r="AQ2" s="523"/>
      <c r="AR2" s="523"/>
      <c r="AS2" s="523"/>
      <c r="AT2" s="523"/>
      <c r="AU2" s="523"/>
      <c r="AV2" s="523"/>
      <c r="AW2" s="523"/>
      <c r="AX2" s="523"/>
      <c r="AY2" s="523"/>
      <c r="AZ2" s="523"/>
      <c r="BA2" s="523"/>
      <c r="BB2" s="523"/>
      <c r="BC2" s="523"/>
      <c r="BD2" s="523"/>
      <c r="BE2" s="523"/>
      <c r="BF2" s="523"/>
      <c r="BG2" s="523"/>
      <c r="BH2" s="523"/>
      <c r="BI2" s="523"/>
      <c r="BJ2" s="523"/>
      <c r="BK2" s="523"/>
      <c r="BL2" s="523"/>
      <c r="BM2" s="523"/>
      <c r="BN2" s="523"/>
      <c r="BO2" s="523"/>
      <c r="BP2" s="523"/>
      <c r="BQ2" s="523"/>
      <c r="BR2" s="523"/>
      <c r="BS2" s="523"/>
      <c r="BT2" s="523"/>
      <c r="BU2" s="523"/>
      <c r="BV2" s="523"/>
      <c r="BW2" s="523"/>
      <c r="BX2" s="523"/>
      <c r="BY2" s="523"/>
      <c r="BZ2" s="523"/>
      <c r="CA2" s="523"/>
      <c r="CB2" s="523"/>
      <c r="CC2" s="523"/>
      <c r="CD2" s="523"/>
      <c r="CE2" s="523"/>
      <c r="CF2" s="523"/>
      <c r="CG2" s="523"/>
      <c r="CH2" s="523"/>
      <c r="CI2" s="523"/>
      <c r="CJ2" s="523"/>
      <c r="CK2" s="523"/>
      <c r="CL2" s="523"/>
      <c r="CM2" s="523"/>
      <c r="CN2" s="523"/>
      <c r="CO2" s="523"/>
      <c r="CP2" s="523"/>
      <c r="CQ2" s="523"/>
      <c r="CR2" s="523"/>
      <c r="CS2" s="523"/>
      <c r="CT2" s="523"/>
      <c r="CU2" s="523"/>
      <c r="CV2" s="523"/>
      <c r="CW2" s="523"/>
      <c r="CX2" s="523"/>
      <c r="CY2" s="523"/>
      <c r="CZ2" s="523"/>
      <c r="DA2" s="523"/>
      <c r="DB2" s="523"/>
      <c r="DC2" s="523"/>
      <c r="DD2" s="523"/>
      <c r="DE2" s="523"/>
      <c r="DF2" s="523"/>
      <c r="DG2" s="523"/>
      <c r="DH2" s="523"/>
      <c r="DI2" s="523"/>
      <c r="DJ2" s="523"/>
      <c r="DK2" s="523"/>
      <c r="DL2" s="523"/>
      <c r="DM2" s="523"/>
      <c r="DN2" s="523"/>
      <c r="DO2" s="523"/>
      <c r="DP2" s="523"/>
      <c r="DQ2" s="523"/>
      <c r="DR2" s="523"/>
      <c r="DS2" s="523"/>
      <c r="DT2" s="523"/>
      <c r="DU2" s="523"/>
      <c r="DV2" s="523"/>
      <c r="DW2" s="523"/>
      <c r="DX2" s="523"/>
      <c r="DY2" s="523"/>
      <c r="DZ2" s="523"/>
      <c r="EA2" s="523"/>
      <c r="EB2" s="523"/>
      <c r="EC2" s="523"/>
      <c r="ED2" s="523"/>
      <c r="EE2" s="523"/>
      <c r="EF2" s="523"/>
      <c r="EG2" s="523"/>
      <c r="EH2" s="523"/>
      <c r="EI2" s="523"/>
      <c r="EJ2" s="523"/>
      <c r="EK2" s="523"/>
      <c r="EL2" s="523"/>
      <c r="EM2" s="523"/>
      <c r="EN2" s="523"/>
      <c r="EO2" s="523"/>
      <c r="EP2" s="523"/>
      <c r="EQ2" s="523"/>
      <c r="ER2" s="523"/>
      <c r="ES2" s="523"/>
      <c r="ET2" s="523"/>
      <c r="EU2" s="523"/>
      <c r="EV2" s="523"/>
      <c r="EW2" s="523"/>
      <c r="EX2" s="523"/>
      <c r="EY2" s="523"/>
      <c r="EZ2" s="523"/>
      <c r="FA2" s="523"/>
      <c r="FB2" s="523"/>
      <c r="FC2" s="523"/>
      <c r="FD2" s="523"/>
      <c r="FE2" s="523"/>
      <c r="FF2" s="523"/>
      <c r="FG2" s="523"/>
      <c r="FH2" s="523"/>
      <c r="FI2" s="523"/>
      <c r="FJ2" s="523"/>
      <c r="FK2" s="523"/>
      <c r="FL2" s="523"/>
      <c r="FM2" s="523"/>
      <c r="FN2" s="523"/>
      <c r="FO2" s="523"/>
      <c r="FP2" s="523"/>
      <c r="FQ2" s="523"/>
      <c r="FR2" s="523"/>
      <c r="FS2" s="523"/>
      <c r="FT2" s="523"/>
      <c r="FU2" s="523"/>
      <c r="FV2" s="523"/>
      <c r="FW2" s="523"/>
      <c r="FX2" s="523"/>
      <c r="FY2" s="523"/>
      <c r="FZ2" s="523"/>
      <c r="GA2" s="523"/>
      <c r="GB2" s="523"/>
      <c r="GC2" s="523"/>
      <c r="GD2" s="523"/>
      <c r="GE2" s="523"/>
      <c r="GF2" s="523"/>
      <c r="GG2" s="523"/>
      <c r="GH2" s="523"/>
      <c r="GI2" s="523"/>
      <c r="GJ2" s="523"/>
      <c r="GK2" s="523"/>
      <c r="GL2" s="523"/>
      <c r="GM2" s="523"/>
      <c r="GN2" s="523"/>
      <c r="GO2" s="523"/>
      <c r="GP2" s="523"/>
      <c r="GQ2" s="523"/>
      <c r="GR2" s="523"/>
      <c r="GS2" s="523"/>
      <c r="GT2" s="523"/>
      <c r="GU2" s="523"/>
      <c r="GV2" s="523"/>
      <c r="GW2" s="523"/>
      <c r="GX2" s="523"/>
      <c r="GY2" s="523"/>
      <c r="GZ2" s="523"/>
      <c r="HA2" s="523"/>
      <c r="HB2" s="523"/>
      <c r="HC2" s="523"/>
      <c r="HD2" s="523"/>
      <c r="HE2" s="523"/>
      <c r="HF2" s="523"/>
      <c r="HG2" s="523"/>
      <c r="HH2" s="523"/>
      <c r="HI2" s="523"/>
      <c r="HJ2" s="523"/>
      <c r="HK2" s="523"/>
      <c r="HL2" s="523"/>
      <c r="HM2" s="523"/>
      <c r="HN2" s="523"/>
      <c r="HO2" s="523"/>
      <c r="HP2" s="523"/>
      <c r="HQ2" s="523"/>
      <c r="HR2" s="523"/>
      <c r="HS2" s="523"/>
      <c r="HT2" s="523"/>
      <c r="HU2" s="523"/>
      <c r="HV2" s="523"/>
      <c r="HW2" s="523"/>
      <c r="HX2" s="523"/>
      <c r="HY2" s="523"/>
      <c r="HZ2" s="523"/>
      <c r="IA2" s="523"/>
      <c r="IB2" s="523"/>
    </row>
    <row r="3" spans="1:236" s="522" customFormat="1" ht="15" customHeight="1">
      <c r="A3" s="523"/>
      <c r="B3" s="523" t="s">
        <v>28</v>
      </c>
      <c r="C3" s="523"/>
      <c r="D3" s="523" t="str">
        <f ca="1">_xll.PALO.ENAME("jedoxtest/EU_PM_CUBE02","Datenstand",3)</f>
        <v>117</v>
      </c>
      <c r="F3" s="750" t="str">
        <f ca="1">"Die nachstehende Tabelle zeigt alle Länder mit (Teil-)Assoziierung zu Horizon Europe im "&amp;TEXT($E$57,"MMMM")&amp;" "&amp;TEXT($E$57,"JJJJ")&amp;"."</f>
        <v>Die nachstehende Tabelle zeigt alle Länder mit (Teil-)Assoziierung zu Horizon Europe im Juli 2026.</v>
      </c>
      <c r="G3" s="750"/>
      <c r="H3" s="750"/>
      <c r="I3" s="750"/>
      <c r="J3" s="750"/>
      <c r="K3" s="750"/>
      <c r="L3" s="750"/>
      <c r="M3" s="750"/>
      <c r="N3" s="750"/>
      <c r="O3" s="750"/>
      <c r="P3" s="750"/>
      <c r="Q3" s="750"/>
      <c r="R3" s="663"/>
      <c r="S3" s="663"/>
      <c r="T3" s="523"/>
      <c r="U3" s="523"/>
      <c r="V3" s="523"/>
      <c r="W3" s="523"/>
      <c r="X3" s="523"/>
      <c r="Y3" s="523"/>
      <c r="Z3" s="523"/>
      <c r="AA3" s="523"/>
      <c r="AB3" s="523"/>
      <c r="AC3" s="523"/>
      <c r="AD3" s="523"/>
      <c r="AE3" s="523"/>
      <c r="AF3" s="523"/>
      <c r="AG3" s="523"/>
      <c r="AH3" s="523"/>
      <c r="AI3" s="523"/>
      <c r="AJ3" s="523"/>
      <c r="AK3" s="523"/>
      <c r="AL3" s="523"/>
      <c r="AM3" s="523"/>
      <c r="AN3" s="523"/>
      <c r="AO3" s="523"/>
      <c r="AP3" s="523"/>
      <c r="AQ3" s="523"/>
      <c r="AR3" s="523"/>
      <c r="AS3" s="523"/>
      <c r="AT3" s="523"/>
      <c r="AU3" s="523"/>
      <c r="AV3" s="523"/>
      <c r="AW3" s="523"/>
      <c r="AX3" s="523"/>
      <c r="AY3" s="523"/>
      <c r="AZ3" s="523"/>
      <c r="BA3" s="523"/>
      <c r="BB3" s="523"/>
      <c r="BC3" s="523"/>
      <c r="BD3" s="523"/>
      <c r="BE3" s="523"/>
      <c r="BF3" s="523"/>
      <c r="BG3" s="523"/>
      <c r="BH3" s="523"/>
      <c r="BI3" s="523"/>
      <c r="BJ3" s="523"/>
      <c r="BK3" s="523"/>
      <c r="BL3" s="523"/>
      <c r="BM3" s="523"/>
      <c r="BN3" s="523"/>
      <c r="BO3" s="523"/>
      <c r="BP3" s="523"/>
      <c r="BQ3" s="523"/>
      <c r="BR3" s="523"/>
      <c r="BS3" s="523"/>
      <c r="BT3" s="523"/>
      <c r="BU3" s="523"/>
      <c r="BV3" s="523"/>
      <c r="BW3" s="523"/>
      <c r="BX3" s="523"/>
      <c r="BY3" s="523"/>
      <c r="BZ3" s="523"/>
      <c r="CA3" s="523"/>
      <c r="CB3" s="523"/>
      <c r="CC3" s="523"/>
      <c r="CD3" s="523"/>
      <c r="CE3" s="523"/>
      <c r="CF3" s="523"/>
      <c r="CG3" s="523"/>
      <c r="CH3" s="523"/>
      <c r="CI3" s="523"/>
      <c r="CJ3" s="523"/>
      <c r="CK3" s="523"/>
      <c r="CL3" s="523"/>
      <c r="CM3" s="523"/>
      <c r="CN3" s="523"/>
      <c r="CO3" s="523"/>
      <c r="CP3" s="523"/>
      <c r="CQ3" s="523"/>
      <c r="CR3" s="523"/>
      <c r="CS3" s="523"/>
      <c r="CT3" s="523"/>
      <c r="CU3" s="523"/>
      <c r="CV3" s="523"/>
      <c r="CW3" s="523"/>
      <c r="CX3" s="523"/>
      <c r="CY3" s="523"/>
      <c r="CZ3" s="523"/>
      <c r="DA3" s="523"/>
      <c r="DB3" s="523"/>
      <c r="DC3" s="523"/>
      <c r="DD3" s="523"/>
      <c r="DE3" s="523"/>
      <c r="DF3" s="523"/>
      <c r="DG3" s="523"/>
      <c r="DH3" s="523"/>
      <c r="DI3" s="523"/>
      <c r="DJ3" s="523"/>
      <c r="DK3" s="523"/>
      <c r="DL3" s="523"/>
      <c r="DM3" s="523"/>
      <c r="DN3" s="523"/>
      <c r="DO3" s="523"/>
      <c r="DP3" s="523"/>
      <c r="DQ3" s="523"/>
      <c r="DR3" s="523"/>
      <c r="DS3" s="523"/>
      <c r="DT3" s="523"/>
      <c r="DU3" s="523"/>
      <c r="DV3" s="523"/>
      <c r="DW3" s="523"/>
      <c r="DX3" s="523"/>
      <c r="DY3" s="523"/>
      <c r="DZ3" s="523"/>
      <c r="EA3" s="523"/>
      <c r="EB3" s="523"/>
      <c r="EC3" s="523"/>
      <c r="ED3" s="523"/>
      <c r="EE3" s="523"/>
      <c r="EF3" s="523"/>
      <c r="EG3" s="523"/>
      <c r="EH3" s="523"/>
      <c r="EI3" s="523"/>
      <c r="EJ3" s="523"/>
      <c r="EK3" s="523"/>
      <c r="EL3" s="523"/>
      <c r="EM3" s="523"/>
      <c r="EN3" s="523"/>
      <c r="EO3" s="523"/>
      <c r="EP3" s="523"/>
      <c r="EQ3" s="523"/>
      <c r="ER3" s="523"/>
      <c r="ES3" s="523"/>
      <c r="ET3" s="523"/>
      <c r="EU3" s="523"/>
      <c r="EV3" s="523"/>
      <c r="EW3" s="523"/>
      <c r="EX3" s="523"/>
      <c r="EY3" s="523"/>
      <c r="EZ3" s="523"/>
      <c r="FA3" s="523"/>
      <c r="FB3" s="523"/>
      <c r="FC3" s="523"/>
      <c r="FD3" s="523"/>
      <c r="FE3" s="523"/>
      <c r="FF3" s="523"/>
      <c r="FG3" s="523"/>
      <c r="FH3" s="523"/>
      <c r="FI3" s="523"/>
      <c r="FJ3" s="523"/>
      <c r="FK3" s="523"/>
      <c r="FL3" s="523"/>
      <c r="FM3" s="523"/>
      <c r="FN3" s="523"/>
      <c r="FO3" s="523"/>
      <c r="FP3" s="523"/>
      <c r="FQ3" s="523"/>
      <c r="FR3" s="523"/>
      <c r="FS3" s="523"/>
      <c r="FT3" s="523"/>
      <c r="FU3" s="523"/>
      <c r="FV3" s="523"/>
      <c r="FW3" s="523"/>
      <c r="FX3" s="523"/>
      <c r="FY3" s="523"/>
      <c r="FZ3" s="523"/>
      <c r="GA3" s="523"/>
      <c r="GB3" s="523"/>
      <c r="GC3" s="523"/>
      <c r="GD3" s="523"/>
      <c r="GE3" s="523"/>
      <c r="GF3" s="523"/>
      <c r="GG3" s="523"/>
      <c r="GH3" s="523"/>
      <c r="GI3" s="523"/>
      <c r="GJ3" s="523"/>
      <c r="GK3" s="523"/>
      <c r="GL3" s="523"/>
      <c r="GM3" s="523"/>
      <c r="GN3" s="523"/>
      <c r="GO3" s="523"/>
      <c r="GP3" s="523"/>
      <c r="GQ3" s="523"/>
      <c r="GR3" s="523"/>
      <c r="GS3" s="523"/>
      <c r="GT3" s="523"/>
      <c r="GU3" s="523"/>
      <c r="GV3" s="523"/>
      <c r="GW3" s="523"/>
      <c r="GX3" s="523"/>
      <c r="GY3" s="523"/>
      <c r="GZ3" s="523"/>
      <c r="HA3" s="523"/>
      <c r="HB3" s="523"/>
      <c r="HC3" s="523"/>
      <c r="HD3" s="523"/>
      <c r="HE3" s="523"/>
      <c r="HF3" s="523"/>
      <c r="HG3" s="523"/>
      <c r="HH3" s="523"/>
      <c r="HI3" s="523"/>
      <c r="HJ3" s="523"/>
      <c r="HK3" s="523"/>
      <c r="HL3" s="523"/>
      <c r="HM3" s="523"/>
      <c r="HN3" s="523"/>
      <c r="HO3" s="523"/>
      <c r="HP3" s="523"/>
      <c r="HQ3" s="523"/>
      <c r="HR3" s="523"/>
      <c r="HS3" s="523"/>
      <c r="HT3" s="523"/>
      <c r="HU3" s="523"/>
      <c r="HV3" s="523"/>
      <c r="HW3" s="523"/>
      <c r="HX3" s="523"/>
      <c r="HY3" s="523"/>
      <c r="HZ3" s="523"/>
      <c r="IA3" s="523"/>
      <c r="IB3" s="523"/>
    </row>
    <row r="4" spans="1:236" s="522" customFormat="1" hidden="1">
      <c r="A4" s="617" t="b">
        <f ca="1">_xll.PALO.HIDEROW(ISBLANK($A$1))</f>
        <v>1</v>
      </c>
      <c r="C4" s="523"/>
      <c r="D4" s="523"/>
      <c r="H4" s="522" t="s">
        <v>57</v>
      </c>
      <c r="I4" s="522" t="s">
        <v>58</v>
      </c>
      <c r="L4" s="522" t="s">
        <v>59</v>
      </c>
      <c r="M4" s="522" t="s">
        <v>57</v>
      </c>
      <c r="N4" s="522" t="s">
        <v>58</v>
      </c>
      <c r="O4" s="558" t="s">
        <v>59</v>
      </c>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c r="AZ4" s="523"/>
      <c r="BA4" s="523"/>
      <c r="BB4" s="523"/>
      <c r="BC4" s="523"/>
      <c r="BD4" s="523"/>
      <c r="BE4" s="523"/>
      <c r="BF4" s="523"/>
      <c r="BG4" s="523"/>
      <c r="BH4" s="523"/>
      <c r="BI4" s="523"/>
      <c r="BJ4" s="523"/>
      <c r="BK4" s="523"/>
      <c r="BL4" s="523"/>
      <c r="BM4" s="523"/>
      <c r="BN4" s="523"/>
      <c r="BO4" s="523"/>
      <c r="BP4" s="523"/>
      <c r="BQ4" s="523"/>
      <c r="BR4" s="523"/>
      <c r="BS4" s="523"/>
      <c r="BT4" s="523"/>
      <c r="BU4" s="523"/>
      <c r="BV4" s="523"/>
      <c r="BW4" s="523"/>
      <c r="BX4" s="523"/>
      <c r="BY4" s="523"/>
      <c r="BZ4" s="523"/>
      <c r="CA4" s="523"/>
      <c r="CB4" s="523"/>
      <c r="CC4" s="523"/>
      <c r="CD4" s="523"/>
      <c r="CE4" s="523"/>
      <c r="CF4" s="523"/>
      <c r="CG4" s="523"/>
      <c r="CH4" s="523"/>
      <c r="CI4" s="523"/>
      <c r="CJ4" s="523"/>
      <c r="CK4" s="523"/>
      <c r="CL4" s="523"/>
      <c r="CM4" s="523"/>
      <c r="CN4" s="523"/>
      <c r="CO4" s="523"/>
      <c r="CP4" s="523"/>
      <c r="CQ4" s="523"/>
      <c r="CR4" s="523"/>
      <c r="CS4" s="523"/>
      <c r="CT4" s="523"/>
      <c r="CU4" s="523"/>
      <c r="CV4" s="523"/>
      <c r="CW4" s="523"/>
      <c r="CX4" s="523"/>
      <c r="CY4" s="523"/>
      <c r="CZ4" s="523"/>
      <c r="DA4" s="523"/>
      <c r="DB4" s="523"/>
      <c r="DC4" s="523"/>
      <c r="DD4" s="523"/>
      <c r="DE4" s="523"/>
      <c r="DF4" s="523"/>
      <c r="DG4" s="523"/>
      <c r="DH4" s="523"/>
      <c r="DI4" s="523"/>
      <c r="DJ4" s="523"/>
      <c r="DK4" s="523"/>
      <c r="DL4" s="523"/>
      <c r="DM4" s="523"/>
      <c r="DN4" s="523"/>
      <c r="DO4" s="523"/>
      <c r="DP4" s="523"/>
      <c r="DQ4" s="523"/>
      <c r="DR4" s="523"/>
      <c r="DS4" s="523"/>
      <c r="DT4" s="523"/>
      <c r="DU4" s="523"/>
      <c r="DV4" s="523"/>
      <c r="DW4" s="523"/>
      <c r="DX4" s="523"/>
      <c r="DY4" s="523"/>
      <c r="DZ4" s="523"/>
      <c r="EA4" s="523"/>
      <c r="EB4" s="523"/>
      <c r="EC4" s="523"/>
      <c r="ED4" s="523"/>
      <c r="EE4" s="523"/>
      <c r="EF4" s="523"/>
      <c r="EG4" s="523"/>
      <c r="EH4" s="523"/>
      <c r="EI4" s="523"/>
      <c r="EJ4" s="523"/>
      <c r="EK4" s="523"/>
      <c r="EL4" s="523"/>
      <c r="EM4" s="523"/>
      <c r="EN4" s="523"/>
      <c r="EO4" s="523"/>
      <c r="EP4" s="523"/>
      <c r="EQ4" s="523"/>
      <c r="ER4" s="523"/>
      <c r="ES4" s="523"/>
      <c r="ET4" s="523"/>
      <c r="EU4" s="523"/>
      <c r="EV4" s="523"/>
      <c r="EW4" s="523"/>
      <c r="EX4" s="523"/>
      <c r="EY4" s="523"/>
      <c r="EZ4" s="523"/>
      <c r="FA4" s="523"/>
      <c r="FB4" s="523"/>
      <c r="FC4" s="523"/>
      <c r="FD4" s="523"/>
      <c r="FE4" s="523"/>
      <c r="FF4" s="523"/>
      <c r="FG4" s="523"/>
      <c r="FH4" s="523"/>
      <c r="FI4" s="523"/>
      <c r="FJ4" s="523"/>
      <c r="FK4" s="523"/>
      <c r="FL4" s="523"/>
      <c r="FM4" s="523"/>
      <c r="FN4" s="523"/>
      <c r="FO4" s="523"/>
      <c r="FP4" s="523"/>
      <c r="FQ4" s="523"/>
      <c r="FR4" s="523"/>
      <c r="FS4" s="523"/>
      <c r="FT4" s="523"/>
      <c r="FU4" s="523"/>
      <c r="FV4" s="523"/>
      <c r="FW4" s="523"/>
      <c r="FX4" s="523"/>
      <c r="FY4" s="523"/>
      <c r="FZ4" s="523"/>
      <c r="GA4" s="523"/>
      <c r="GB4" s="523"/>
      <c r="GC4" s="523"/>
      <c r="GD4" s="523"/>
      <c r="GE4" s="523"/>
      <c r="GF4" s="523"/>
      <c r="GG4" s="523"/>
      <c r="GH4" s="523"/>
      <c r="GI4" s="523"/>
      <c r="GJ4" s="523"/>
      <c r="GK4" s="523"/>
      <c r="GL4" s="523"/>
      <c r="GM4" s="523"/>
      <c r="GN4" s="523"/>
      <c r="GO4" s="523"/>
      <c r="GP4" s="523"/>
      <c r="GQ4" s="523"/>
      <c r="GR4" s="523"/>
      <c r="GS4" s="523"/>
      <c r="GT4" s="523"/>
      <c r="GU4" s="523"/>
      <c r="GV4" s="523"/>
      <c r="GW4" s="523"/>
      <c r="GX4" s="523"/>
      <c r="GY4" s="523"/>
      <c r="GZ4" s="523"/>
      <c r="HA4" s="523"/>
      <c r="HB4" s="523"/>
      <c r="HC4" s="523"/>
      <c r="HD4" s="523"/>
      <c r="HE4" s="523"/>
      <c r="HF4" s="523"/>
      <c r="HG4" s="523"/>
      <c r="HH4" s="523"/>
      <c r="HI4" s="523"/>
      <c r="HJ4" s="523"/>
      <c r="HK4" s="523"/>
      <c r="HL4" s="523"/>
      <c r="HM4" s="523"/>
      <c r="HN4" s="523"/>
      <c r="HO4" s="523"/>
      <c r="HP4" s="523"/>
      <c r="HQ4" s="523"/>
      <c r="HR4" s="523"/>
      <c r="HS4" s="523"/>
      <c r="HT4" s="523"/>
      <c r="HU4" s="523"/>
      <c r="HV4" s="523"/>
      <c r="HW4" s="523"/>
      <c r="HX4" s="523"/>
      <c r="HY4" s="523"/>
      <c r="HZ4" s="523"/>
      <c r="IA4" s="523"/>
      <c r="IB4" s="523"/>
    </row>
    <row r="5" spans="1:236" s="522" customFormat="1" hidden="1">
      <c r="A5" s="617" t="b">
        <f ca="1">_xll.PALO.HIDEROW(ISBLANK($A$1))</f>
        <v>1</v>
      </c>
      <c r="B5" s="523"/>
      <c r="C5" s="523"/>
      <c r="D5" s="523"/>
      <c r="E5" s="523"/>
      <c r="F5" s="523"/>
      <c r="G5" s="523"/>
      <c r="H5" s="523"/>
      <c r="I5" s="523"/>
      <c r="J5" s="523"/>
      <c r="K5" s="523"/>
      <c r="L5" s="523"/>
      <c r="M5" s="523"/>
      <c r="N5" s="523"/>
      <c r="O5" s="559"/>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3"/>
      <c r="BJ5" s="523"/>
      <c r="BK5" s="523"/>
      <c r="BL5" s="523"/>
      <c r="BM5" s="523"/>
      <c r="BN5" s="523"/>
      <c r="BO5" s="523"/>
      <c r="BP5" s="523"/>
      <c r="BQ5" s="523"/>
      <c r="BR5" s="523"/>
      <c r="BS5" s="523"/>
      <c r="BT5" s="523"/>
      <c r="BU5" s="523"/>
      <c r="BV5" s="523"/>
      <c r="BW5" s="523"/>
      <c r="BX5" s="523"/>
      <c r="BY5" s="523"/>
      <c r="BZ5" s="523"/>
      <c r="CA5" s="523"/>
      <c r="CB5" s="523"/>
      <c r="CC5" s="523"/>
      <c r="CD5" s="523"/>
      <c r="CE5" s="523"/>
      <c r="CF5" s="523"/>
      <c r="CG5" s="523"/>
      <c r="CH5" s="523"/>
      <c r="CI5" s="523"/>
      <c r="CJ5" s="523"/>
      <c r="CK5" s="523"/>
      <c r="CL5" s="523"/>
      <c r="CM5" s="523"/>
      <c r="CN5" s="523"/>
      <c r="CO5" s="523"/>
      <c r="CP5" s="523"/>
      <c r="CQ5" s="523"/>
      <c r="CR5" s="523"/>
      <c r="CS5" s="523"/>
      <c r="CT5" s="523"/>
      <c r="CU5" s="523"/>
      <c r="CV5" s="523"/>
      <c r="CW5" s="523"/>
      <c r="CX5" s="523"/>
      <c r="CY5" s="523"/>
      <c r="CZ5" s="523"/>
      <c r="DA5" s="523"/>
      <c r="DB5" s="523"/>
      <c r="DC5" s="523"/>
      <c r="DD5" s="523"/>
      <c r="DE5" s="523"/>
      <c r="DF5" s="523"/>
      <c r="DG5" s="523"/>
      <c r="DH5" s="523"/>
      <c r="DI5" s="523"/>
      <c r="DJ5" s="523"/>
      <c r="DK5" s="523"/>
      <c r="DL5" s="523"/>
      <c r="DM5" s="523"/>
      <c r="DN5" s="523"/>
      <c r="DO5" s="523"/>
      <c r="DP5" s="523"/>
      <c r="DQ5" s="523"/>
      <c r="DR5" s="523"/>
      <c r="DS5" s="523"/>
      <c r="DT5" s="523"/>
      <c r="DU5" s="523"/>
      <c r="DV5" s="523"/>
      <c r="DW5" s="523"/>
      <c r="DX5" s="523"/>
      <c r="DY5" s="523"/>
      <c r="DZ5" s="523"/>
      <c r="EA5" s="523"/>
      <c r="EB5" s="523"/>
      <c r="EC5" s="523"/>
      <c r="ED5" s="523"/>
      <c r="EE5" s="523"/>
      <c r="EF5" s="523"/>
      <c r="EG5" s="523"/>
      <c r="EH5" s="523"/>
      <c r="EI5" s="523"/>
      <c r="EJ5" s="523"/>
      <c r="EK5" s="523"/>
      <c r="EL5" s="523"/>
      <c r="EM5" s="523"/>
      <c r="EN5" s="523"/>
      <c r="EO5" s="523"/>
      <c r="EP5" s="523"/>
      <c r="EQ5" s="523"/>
      <c r="ER5" s="523"/>
      <c r="ES5" s="523"/>
      <c r="ET5" s="523"/>
      <c r="EU5" s="523"/>
      <c r="EV5" s="523"/>
      <c r="EW5" s="523"/>
      <c r="EX5" s="523"/>
      <c r="EY5" s="523"/>
      <c r="EZ5" s="523"/>
      <c r="FA5" s="523"/>
      <c r="FB5" s="523"/>
      <c r="FC5" s="523"/>
      <c r="FD5" s="523"/>
      <c r="FE5" s="523"/>
      <c r="FF5" s="523"/>
      <c r="FG5" s="523"/>
      <c r="FH5" s="523"/>
      <c r="FI5" s="523"/>
      <c r="FJ5" s="523"/>
      <c r="FK5" s="523"/>
      <c r="FL5" s="523"/>
      <c r="FM5" s="523"/>
      <c r="FN5" s="523"/>
      <c r="FO5" s="523"/>
      <c r="FP5" s="523"/>
      <c r="FQ5" s="523"/>
      <c r="FR5" s="523"/>
      <c r="FS5" s="523"/>
      <c r="FT5" s="523"/>
      <c r="FU5" s="523"/>
      <c r="FV5" s="523"/>
      <c r="FW5" s="523"/>
      <c r="FX5" s="523"/>
      <c r="FY5" s="523"/>
      <c r="FZ5" s="523"/>
      <c r="GA5" s="523"/>
      <c r="GB5" s="523"/>
      <c r="GC5" s="523"/>
      <c r="GD5" s="523"/>
      <c r="GE5" s="523"/>
      <c r="GF5" s="523"/>
      <c r="GG5" s="523"/>
      <c r="GH5" s="523"/>
      <c r="GI5" s="523"/>
      <c r="GJ5" s="523"/>
      <c r="GK5" s="523"/>
      <c r="GL5" s="523"/>
      <c r="GM5" s="523"/>
      <c r="GN5" s="523"/>
      <c r="GO5" s="523"/>
      <c r="GP5" s="523"/>
      <c r="GQ5" s="523"/>
      <c r="GR5" s="523"/>
      <c r="GS5" s="523"/>
      <c r="GT5" s="523"/>
      <c r="GU5" s="523"/>
      <c r="GV5" s="523"/>
      <c r="GW5" s="523"/>
      <c r="GX5" s="523"/>
      <c r="GY5" s="523"/>
      <c r="GZ5" s="523"/>
      <c r="HA5" s="523"/>
      <c r="HB5" s="523"/>
      <c r="HC5" s="523"/>
      <c r="HD5" s="523"/>
      <c r="HE5" s="523"/>
      <c r="HF5" s="523"/>
      <c r="HG5" s="523"/>
      <c r="HH5" s="523"/>
      <c r="HI5" s="523"/>
      <c r="HJ5" s="523"/>
      <c r="HK5" s="523"/>
      <c r="HL5" s="523"/>
      <c r="HM5" s="523"/>
      <c r="HN5" s="523"/>
      <c r="HO5" s="523"/>
      <c r="HP5" s="523"/>
      <c r="HQ5" s="523"/>
      <c r="HR5" s="523"/>
      <c r="HS5" s="523"/>
      <c r="HT5" s="523"/>
      <c r="HU5" s="523"/>
      <c r="HV5" s="523"/>
      <c r="HW5" s="523"/>
      <c r="HX5" s="523"/>
      <c r="HY5" s="523"/>
      <c r="HZ5" s="523"/>
      <c r="IA5" s="523"/>
      <c r="IB5" s="523"/>
    </row>
    <row r="6" spans="1:236" s="522" customFormat="1" hidden="1">
      <c r="A6" s="617" t="b">
        <f ca="1">_xll.PALO.HIDEROW(ISBLANK($A$1))</f>
        <v>1</v>
      </c>
      <c r="B6" s="523"/>
      <c r="C6" s="523"/>
      <c r="D6" s="523"/>
      <c r="E6" s="523"/>
      <c r="F6" s="523"/>
      <c r="G6" s="523"/>
      <c r="H6" s="523"/>
      <c r="I6" s="523"/>
      <c r="J6" s="523"/>
      <c r="K6" s="523"/>
      <c r="L6" s="523"/>
      <c r="M6" s="523"/>
      <c r="N6" s="523"/>
      <c r="O6" s="559"/>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c r="BD6" s="523"/>
      <c r="BE6" s="523"/>
      <c r="BF6" s="523"/>
      <c r="BG6" s="523"/>
      <c r="BH6" s="523"/>
      <c r="BI6" s="523"/>
      <c r="BJ6" s="523"/>
      <c r="BK6" s="523"/>
      <c r="BL6" s="523"/>
      <c r="BM6" s="523"/>
      <c r="BN6" s="523"/>
      <c r="BO6" s="523"/>
      <c r="BP6" s="523"/>
      <c r="BQ6" s="523"/>
      <c r="BR6" s="523"/>
      <c r="BS6" s="523"/>
      <c r="BT6" s="523"/>
      <c r="BU6" s="523"/>
      <c r="BV6" s="523"/>
      <c r="BW6" s="523"/>
      <c r="BX6" s="523"/>
      <c r="BY6" s="523"/>
      <c r="BZ6" s="523"/>
      <c r="CA6" s="523"/>
      <c r="CB6" s="523"/>
      <c r="CC6" s="523"/>
      <c r="CD6" s="523"/>
      <c r="CE6" s="523"/>
      <c r="CF6" s="523"/>
      <c r="CG6" s="523"/>
      <c r="CH6" s="523"/>
      <c r="CI6" s="523"/>
      <c r="CJ6" s="523"/>
      <c r="CK6" s="523"/>
      <c r="CL6" s="523"/>
      <c r="CM6" s="523"/>
      <c r="CN6" s="523"/>
      <c r="CO6" s="523"/>
      <c r="CP6" s="523"/>
      <c r="CQ6" s="523"/>
      <c r="CR6" s="523"/>
      <c r="CS6" s="523"/>
      <c r="CT6" s="523"/>
      <c r="CU6" s="523"/>
      <c r="CV6" s="523"/>
      <c r="CW6" s="523"/>
      <c r="CX6" s="523"/>
      <c r="CY6" s="523"/>
      <c r="CZ6" s="523"/>
      <c r="DA6" s="523"/>
      <c r="DB6" s="523"/>
      <c r="DC6" s="523"/>
      <c r="DD6" s="523"/>
      <c r="DE6" s="523"/>
      <c r="DF6" s="523"/>
      <c r="DG6" s="523"/>
      <c r="DH6" s="523"/>
      <c r="DI6" s="523"/>
      <c r="DJ6" s="523"/>
      <c r="DK6" s="523"/>
      <c r="DL6" s="523"/>
      <c r="DM6" s="523"/>
      <c r="DN6" s="523"/>
      <c r="DO6" s="523"/>
      <c r="DP6" s="523"/>
      <c r="DQ6" s="523"/>
      <c r="DR6" s="523"/>
      <c r="DS6" s="523"/>
      <c r="DT6" s="523"/>
      <c r="DU6" s="523"/>
      <c r="DV6" s="523"/>
      <c r="DW6" s="523"/>
      <c r="DX6" s="523"/>
      <c r="DY6" s="523"/>
      <c r="DZ6" s="523"/>
      <c r="EA6" s="523"/>
      <c r="EB6" s="523"/>
      <c r="EC6" s="523"/>
      <c r="ED6" s="523"/>
      <c r="EE6" s="523"/>
      <c r="EF6" s="523"/>
      <c r="EG6" s="523"/>
      <c r="EH6" s="523"/>
      <c r="EI6" s="523"/>
      <c r="EJ6" s="523"/>
      <c r="EK6" s="523"/>
      <c r="EL6" s="523"/>
      <c r="EM6" s="523"/>
      <c r="EN6" s="523"/>
      <c r="EO6" s="523"/>
      <c r="EP6" s="523"/>
      <c r="EQ6" s="523"/>
      <c r="ER6" s="523"/>
      <c r="ES6" s="523"/>
      <c r="ET6" s="523"/>
      <c r="EU6" s="523"/>
      <c r="EV6" s="523"/>
      <c r="EW6" s="523"/>
      <c r="EX6" s="523"/>
      <c r="EY6" s="523"/>
      <c r="EZ6" s="523"/>
      <c r="FA6" s="523"/>
      <c r="FB6" s="523"/>
      <c r="FC6" s="523"/>
      <c r="FD6" s="523"/>
      <c r="FE6" s="523"/>
      <c r="FF6" s="523"/>
      <c r="FG6" s="523"/>
      <c r="FH6" s="523"/>
      <c r="FI6" s="523"/>
      <c r="FJ6" s="523"/>
      <c r="FK6" s="523"/>
      <c r="FL6" s="523"/>
      <c r="FM6" s="523"/>
      <c r="FN6" s="523"/>
      <c r="FO6" s="523"/>
      <c r="FP6" s="523"/>
      <c r="FQ6" s="523"/>
      <c r="FR6" s="523"/>
      <c r="FS6" s="523"/>
      <c r="FT6" s="523"/>
      <c r="FU6" s="523"/>
      <c r="FV6" s="523"/>
      <c r="FW6" s="523"/>
      <c r="FX6" s="523"/>
      <c r="FY6" s="523"/>
      <c r="FZ6" s="523"/>
      <c r="GA6" s="523"/>
      <c r="GB6" s="523"/>
      <c r="GC6" s="523"/>
      <c r="GD6" s="523"/>
      <c r="GE6" s="523"/>
      <c r="GF6" s="523"/>
      <c r="GG6" s="523"/>
      <c r="GH6" s="523"/>
      <c r="GI6" s="523"/>
      <c r="GJ6" s="523"/>
      <c r="GK6" s="523"/>
      <c r="GL6" s="523"/>
      <c r="GM6" s="523"/>
      <c r="GN6" s="523"/>
      <c r="GO6" s="523"/>
      <c r="GP6" s="523"/>
      <c r="GQ6" s="523"/>
      <c r="GR6" s="523"/>
      <c r="GS6" s="523"/>
      <c r="GT6" s="523"/>
      <c r="GU6" s="523"/>
      <c r="GV6" s="523"/>
      <c r="GW6" s="523"/>
      <c r="GX6" s="523"/>
      <c r="GY6" s="523"/>
      <c r="GZ6" s="523"/>
      <c r="HA6" s="523"/>
      <c r="HB6" s="523"/>
      <c r="HC6" s="523"/>
      <c r="HD6" s="523"/>
      <c r="HE6" s="523"/>
      <c r="HF6" s="523"/>
      <c r="HG6" s="523"/>
      <c r="HH6" s="523"/>
      <c r="HI6" s="523"/>
      <c r="HJ6" s="523"/>
      <c r="HK6" s="523"/>
      <c r="HL6" s="523"/>
      <c r="HM6" s="523"/>
      <c r="HN6" s="523"/>
      <c r="HO6" s="523"/>
      <c r="HP6" s="523"/>
      <c r="HQ6" s="523"/>
      <c r="HR6" s="523"/>
      <c r="HS6" s="523"/>
      <c r="HT6" s="523"/>
      <c r="HU6" s="523"/>
      <c r="HV6" s="523"/>
      <c r="HW6" s="523"/>
      <c r="HX6" s="523"/>
      <c r="HY6" s="523"/>
      <c r="HZ6" s="523"/>
      <c r="IA6" s="523"/>
      <c r="IB6" s="523"/>
    </row>
    <row r="7" spans="1:236" customFormat="1" hidden="1">
      <c r="A7" s="617" t="b">
        <f ca="1">_xll.PALO.HIDEROW(ISBLANK($A$1))</f>
        <v>1</v>
      </c>
      <c r="F7" s="526"/>
    </row>
    <row r="8" spans="1:236" s="522" customFormat="1" ht="32.25" customHeight="1">
      <c r="B8" s="523"/>
      <c r="C8" s="523"/>
      <c r="D8" s="523"/>
      <c r="E8" s="523"/>
      <c r="F8" s="118"/>
      <c r="G8" s="118"/>
      <c r="H8" s="714" t="s">
        <v>31</v>
      </c>
      <c r="I8" s="714"/>
      <c r="J8" s="714" t="s">
        <v>32</v>
      </c>
      <c r="K8" s="714"/>
      <c r="L8"/>
      <c r="M8" s="560" t="s">
        <v>277</v>
      </c>
      <c r="N8" s="560" t="s">
        <v>278</v>
      </c>
      <c r="O8" s="560" t="s">
        <v>3</v>
      </c>
      <c r="P8" s="523"/>
      <c r="Q8" s="523"/>
      <c r="R8" s="523"/>
      <c r="S8" s="523"/>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AS8" s="523"/>
      <c r="AT8" s="523"/>
      <c r="AU8" s="523"/>
      <c r="AV8" s="523"/>
      <c r="AW8" s="523"/>
      <c r="AX8" s="523"/>
      <c r="AY8" s="523"/>
      <c r="AZ8" s="523"/>
      <c r="BA8" s="523"/>
      <c r="BB8" s="523"/>
      <c r="BC8" s="523"/>
      <c r="BD8" s="523"/>
      <c r="BE8" s="523"/>
      <c r="BF8" s="523"/>
      <c r="BG8" s="523"/>
      <c r="BH8" s="523"/>
      <c r="BI8" s="523"/>
      <c r="BJ8" s="523"/>
      <c r="BK8" s="523"/>
      <c r="BL8" s="523"/>
      <c r="BM8" s="523"/>
      <c r="BN8" s="523"/>
      <c r="BO8" s="523"/>
      <c r="BP8" s="523"/>
      <c r="BQ8" s="523"/>
      <c r="BR8" s="523"/>
      <c r="BS8" s="523"/>
      <c r="BT8" s="523"/>
      <c r="BU8" s="523"/>
      <c r="BV8" s="523"/>
      <c r="BW8" s="523"/>
      <c r="BX8" s="523"/>
      <c r="BY8" s="523"/>
      <c r="BZ8" s="523"/>
      <c r="CA8" s="523"/>
      <c r="CB8" s="523"/>
      <c r="CC8" s="523"/>
      <c r="CD8" s="523"/>
      <c r="CE8" s="523"/>
      <c r="CF8" s="523"/>
      <c r="CG8" s="523"/>
      <c r="CH8" s="523"/>
      <c r="CI8" s="523"/>
      <c r="CJ8" s="523"/>
      <c r="CK8" s="523"/>
      <c r="CL8" s="523"/>
      <c r="CM8" s="523"/>
      <c r="CN8" s="523"/>
      <c r="CO8" s="523"/>
      <c r="CP8" s="523"/>
      <c r="CQ8" s="523"/>
      <c r="CR8" s="523"/>
      <c r="CS8" s="523"/>
      <c r="CT8" s="523"/>
      <c r="CU8" s="523"/>
      <c r="CV8" s="523"/>
      <c r="CW8" s="523"/>
      <c r="CX8" s="523"/>
      <c r="CY8" s="523"/>
      <c r="CZ8" s="523"/>
      <c r="DA8" s="523"/>
      <c r="DB8" s="523"/>
      <c r="DC8" s="523"/>
      <c r="DD8" s="523"/>
      <c r="DE8" s="523"/>
      <c r="DF8" s="523"/>
      <c r="DG8" s="523"/>
      <c r="DH8" s="523"/>
      <c r="DI8" s="523"/>
      <c r="DJ8" s="523"/>
      <c r="DK8" s="523"/>
      <c r="DL8" s="523"/>
      <c r="DM8" s="523"/>
      <c r="DN8" s="523"/>
      <c r="DO8" s="523"/>
      <c r="DP8" s="523"/>
      <c r="DQ8" s="523"/>
      <c r="DR8" s="523"/>
      <c r="DS8" s="523"/>
      <c r="DT8" s="523"/>
      <c r="DU8" s="523"/>
      <c r="DV8" s="523"/>
      <c r="DW8" s="523"/>
      <c r="DX8" s="523"/>
      <c r="DY8" s="523"/>
      <c r="DZ8" s="523"/>
      <c r="EA8" s="523"/>
      <c r="EB8" s="523"/>
      <c r="EC8" s="523"/>
      <c r="ED8" s="523"/>
      <c r="EE8" s="523"/>
      <c r="EF8" s="523"/>
      <c r="EG8" s="523"/>
      <c r="EH8" s="523"/>
      <c r="EI8" s="523"/>
      <c r="EJ8" s="523"/>
      <c r="EK8" s="523"/>
      <c r="EL8" s="523"/>
      <c r="EM8" s="523"/>
      <c r="EN8" s="523"/>
      <c r="EO8" s="523"/>
      <c r="EP8" s="523"/>
      <c r="EQ8" s="523"/>
      <c r="ER8" s="523"/>
      <c r="ES8" s="523"/>
      <c r="ET8" s="523"/>
      <c r="EU8" s="523"/>
      <c r="EV8" s="523"/>
      <c r="EW8" s="523"/>
      <c r="EX8" s="523"/>
      <c r="EY8" s="523"/>
      <c r="EZ8" s="523"/>
      <c r="FA8" s="523"/>
      <c r="FB8" s="523"/>
      <c r="FC8" s="523"/>
      <c r="FD8" s="523"/>
      <c r="FE8" s="523"/>
      <c r="FF8" s="523"/>
      <c r="FG8" s="523"/>
      <c r="FH8" s="523"/>
      <c r="FI8" s="523"/>
      <c r="FJ8" s="523"/>
      <c r="FK8" s="523"/>
      <c r="FL8" s="523"/>
      <c r="FM8" s="523"/>
      <c r="FN8" s="523"/>
      <c r="FO8" s="523"/>
      <c r="FP8" s="523"/>
      <c r="FQ8" s="523"/>
      <c r="FR8" s="523"/>
      <c r="FS8" s="523"/>
      <c r="FT8" s="523"/>
      <c r="FU8" s="523"/>
      <c r="FV8" s="523"/>
      <c r="FW8" s="523"/>
      <c r="FX8" s="523"/>
      <c r="FY8" s="523"/>
      <c r="FZ8" s="523"/>
      <c r="GA8" s="523"/>
      <c r="GB8" s="523"/>
      <c r="GC8" s="523"/>
      <c r="GD8" s="523"/>
      <c r="GE8" s="523"/>
      <c r="GF8" s="523"/>
      <c r="GG8" s="523"/>
      <c r="GH8" s="523"/>
      <c r="GI8" s="523"/>
      <c r="GJ8" s="523"/>
      <c r="GK8" s="523"/>
      <c r="GL8" s="523"/>
      <c r="GM8" s="523"/>
      <c r="GN8" s="523"/>
      <c r="GO8" s="523"/>
      <c r="GP8" s="523"/>
      <c r="GQ8" s="523"/>
      <c r="GR8" s="523"/>
      <c r="GS8" s="523"/>
      <c r="GT8" s="523"/>
      <c r="GU8" s="523"/>
      <c r="GV8" s="523"/>
      <c r="GW8" s="523"/>
      <c r="GX8" s="523"/>
      <c r="GY8" s="523"/>
      <c r="GZ8" s="523"/>
      <c r="HA8" s="523"/>
      <c r="HB8" s="523"/>
      <c r="HC8" s="523"/>
      <c r="HD8" s="523"/>
      <c r="HE8" s="523"/>
      <c r="HF8" s="523"/>
      <c r="HG8" s="523"/>
      <c r="HH8" s="523"/>
      <c r="HI8" s="523"/>
      <c r="HJ8" s="523"/>
      <c r="HK8" s="523"/>
      <c r="HL8" s="523"/>
      <c r="HM8" s="523"/>
      <c r="HN8" s="523"/>
      <c r="HO8" s="523"/>
      <c r="HP8" s="523"/>
      <c r="HQ8" s="523"/>
      <c r="HR8" s="523"/>
      <c r="HS8" s="523"/>
      <c r="HT8" s="523"/>
      <c r="HU8" s="523"/>
      <c r="HV8" s="523"/>
      <c r="HW8" s="523"/>
      <c r="HX8" s="523"/>
      <c r="HY8" s="523"/>
      <c r="HZ8" s="523"/>
      <c r="IA8" s="523"/>
      <c r="IB8" s="523"/>
    </row>
    <row r="9" spans="1:236" s="579" customFormat="1" ht="18.75" customHeight="1">
      <c r="A9" s="574"/>
      <c r="B9" s="575"/>
      <c r="C9" s="575"/>
      <c r="D9" s="575"/>
      <c r="E9" s="575"/>
      <c r="F9" s="753" t="s">
        <v>33</v>
      </c>
      <c r="G9" s="753"/>
      <c r="H9" s="754">
        <f ca="1">SUM(H11:H29)</f>
        <v>18928</v>
      </c>
      <c r="I9" s="754"/>
      <c r="J9" s="754">
        <f ca="1">SUM(I11:I29)</f>
        <v>5930702150.5000105</v>
      </c>
      <c r="K9" s="754"/>
      <c r="L9" s="576">
        <f ca="1">SUM(L11:L29)</f>
        <v>3196</v>
      </c>
      <c r="M9" s="577">
        <f ca="1">SUM(M11:M34)</f>
        <v>19132</v>
      </c>
      <c r="N9" s="577">
        <f ca="1">SUM(N11:N34)</f>
        <v>5964321329.690011</v>
      </c>
      <c r="O9" s="577">
        <f ca="1">SUM(O11:O34)</f>
        <v>3206</v>
      </c>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c r="BD9" s="578"/>
      <c r="BE9" s="578"/>
      <c r="BF9" s="578"/>
      <c r="BG9" s="578"/>
      <c r="BH9" s="578"/>
      <c r="BI9" s="578"/>
      <c r="BJ9" s="578"/>
      <c r="BK9" s="578"/>
      <c r="BL9" s="578"/>
      <c r="BM9" s="578"/>
      <c r="BN9" s="578"/>
      <c r="BO9" s="578"/>
      <c r="BP9" s="578"/>
      <c r="BQ9" s="578"/>
      <c r="BR9" s="578"/>
      <c r="BS9" s="578"/>
      <c r="BT9" s="578"/>
      <c r="BU9" s="578"/>
      <c r="BV9" s="578"/>
      <c r="BW9" s="578"/>
      <c r="BX9" s="578"/>
      <c r="BY9" s="578"/>
      <c r="BZ9" s="578"/>
      <c r="CA9" s="578"/>
      <c r="CB9" s="578"/>
      <c r="CC9" s="578"/>
      <c r="CD9" s="578"/>
      <c r="CE9" s="578"/>
      <c r="CF9" s="578"/>
      <c r="CG9" s="578"/>
      <c r="CH9" s="578"/>
      <c r="CI9" s="578"/>
      <c r="CJ9" s="578"/>
      <c r="CK9" s="578"/>
      <c r="CL9" s="578"/>
      <c r="CM9" s="578"/>
      <c r="CN9" s="578"/>
      <c r="CO9" s="578"/>
      <c r="CP9" s="578"/>
      <c r="CQ9" s="578"/>
      <c r="CR9" s="578"/>
      <c r="CS9" s="578"/>
      <c r="CT9" s="578"/>
      <c r="CU9" s="578"/>
      <c r="CV9" s="578"/>
      <c r="CW9" s="578"/>
      <c r="CX9" s="578"/>
      <c r="CY9" s="578"/>
      <c r="CZ9" s="578"/>
      <c r="DA9" s="578"/>
      <c r="DB9" s="578"/>
      <c r="DC9" s="578"/>
      <c r="DD9" s="578"/>
      <c r="DE9" s="578"/>
      <c r="DF9" s="578"/>
      <c r="DG9" s="578"/>
      <c r="DH9" s="578"/>
      <c r="DI9" s="578"/>
      <c r="DJ9" s="578"/>
      <c r="DK9" s="578"/>
      <c r="DL9" s="578"/>
      <c r="DM9" s="578"/>
      <c r="DN9" s="578"/>
      <c r="DO9" s="578"/>
      <c r="DP9" s="578"/>
      <c r="DQ9" s="578"/>
      <c r="DR9" s="578"/>
      <c r="DS9" s="578"/>
      <c r="DT9" s="578"/>
      <c r="DU9" s="578"/>
      <c r="DV9" s="578"/>
      <c r="DW9" s="578"/>
      <c r="DX9" s="578"/>
      <c r="DY9" s="578"/>
      <c r="DZ9" s="578"/>
      <c r="EA9" s="578"/>
      <c r="EB9" s="578"/>
      <c r="EC9" s="578"/>
      <c r="ED9" s="578"/>
      <c r="EE9" s="578"/>
      <c r="EF9" s="578"/>
      <c r="EG9" s="578"/>
      <c r="EH9" s="578"/>
      <c r="EI9" s="578"/>
      <c r="EJ9" s="578"/>
      <c r="EK9" s="578"/>
      <c r="EL9" s="578"/>
      <c r="EM9" s="578"/>
      <c r="EN9" s="578"/>
      <c r="EO9" s="578"/>
      <c r="EP9" s="578"/>
      <c r="EQ9" s="578"/>
      <c r="ER9" s="578"/>
      <c r="ES9" s="578"/>
      <c r="ET9" s="578"/>
      <c r="EU9" s="578"/>
      <c r="EV9" s="578"/>
      <c r="EW9" s="578"/>
      <c r="EX9" s="578"/>
      <c r="EY9" s="578"/>
      <c r="EZ9" s="578"/>
      <c r="FA9" s="578"/>
      <c r="FB9" s="578"/>
      <c r="FC9" s="578"/>
      <c r="FD9" s="578"/>
      <c r="FE9" s="578"/>
      <c r="FF9" s="578"/>
      <c r="FG9" s="578"/>
      <c r="FH9" s="578"/>
      <c r="FI9" s="578"/>
      <c r="FJ9" s="578"/>
      <c r="FK9" s="578"/>
      <c r="FL9" s="578"/>
      <c r="FM9" s="578"/>
      <c r="FN9" s="578"/>
      <c r="FO9" s="578"/>
      <c r="FP9" s="578"/>
      <c r="FQ9" s="578"/>
      <c r="FR9" s="578"/>
      <c r="FS9" s="578"/>
      <c r="FT9" s="578"/>
      <c r="FU9" s="578"/>
      <c r="FV9" s="578"/>
      <c r="FW9" s="578"/>
      <c r="FX9" s="578"/>
      <c r="FY9" s="578"/>
      <c r="FZ9" s="578"/>
      <c r="GA9" s="578"/>
      <c r="GB9" s="578"/>
      <c r="GC9" s="578"/>
      <c r="GD9" s="578"/>
      <c r="GE9" s="578"/>
      <c r="GF9" s="578"/>
      <c r="GG9" s="578"/>
      <c r="GH9" s="578"/>
      <c r="GI9" s="578"/>
      <c r="GJ9" s="578"/>
      <c r="GK9" s="578"/>
      <c r="GL9" s="578"/>
      <c r="GM9" s="578"/>
      <c r="GN9" s="578"/>
      <c r="GO9" s="578"/>
      <c r="GP9" s="578"/>
      <c r="GQ9" s="578"/>
      <c r="GR9" s="578"/>
      <c r="GS9" s="578"/>
      <c r="GT9" s="578"/>
      <c r="GU9" s="578"/>
      <c r="GV9" s="578"/>
      <c r="GW9" s="578"/>
      <c r="GX9" s="578"/>
      <c r="GY9" s="578"/>
      <c r="GZ9" s="578"/>
      <c r="HA9" s="578"/>
      <c r="HB9" s="578"/>
      <c r="HC9" s="578"/>
      <c r="HD9" s="578"/>
      <c r="HE9" s="578"/>
      <c r="HF9" s="578"/>
      <c r="HG9" s="578"/>
      <c r="HH9" s="578"/>
      <c r="HI9" s="578"/>
      <c r="HJ9" s="578"/>
      <c r="HK9" s="578"/>
      <c r="HL9" s="578"/>
      <c r="HM9" s="578"/>
      <c r="HN9" s="578"/>
      <c r="HO9" s="578"/>
      <c r="HP9" s="578"/>
      <c r="HQ9" s="578"/>
      <c r="HR9" s="578"/>
      <c r="HS9" s="578"/>
      <c r="HT9" s="578"/>
      <c r="HU9" s="578"/>
      <c r="HV9" s="578"/>
      <c r="HW9" s="578"/>
      <c r="HX9" s="578"/>
      <c r="HY9" s="578"/>
      <c r="HZ9" s="578"/>
      <c r="IA9" s="578"/>
      <c r="IB9" s="578"/>
    </row>
    <row r="10" spans="1:236" ht="46.5" customHeight="1">
      <c r="A10" s="522"/>
      <c r="B10" s="374"/>
      <c r="C10" s="374" t="s">
        <v>362</v>
      </c>
      <c r="D10" s="374" t="s">
        <v>230</v>
      </c>
      <c r="E10" s="374" t="s">
        <v>229</v>
      </c>
      <c r="F10" s="258" t="s">
        <v>30</v>
      </c>
      <c r="G10" s="258" t="s">
        <v>183</v>
      </c>
      <c r="H10" s="382" t="s">
        <v>31</v>
      </c>
      <c r="I10" s="382" t="s">
        <v>32</v>
      </c>
      <c r="J10" s="487" t="s">
        <v>266</v>
      </c>
      <c r="K10" s="487" t="s">
        <v>265</v>
      </c>
      <c r="L10" s="382" t="s">
        <v>231</v>
      </c>
      <c r="M10" s="382" t="s">
        <v>277</v>
      </c>
      <c r="N10" s="382" t="s">
        <v>278</v>
      </c>
      <c r="O10" s="382" t="s">
        <v>3</v>
      </c>
      <c r="P10" s="487" t="s">
        <v>266</v>
      </c>
      <c r="Q10" s="487" t="s">
        <v>265</v>
      </c>
      <c r="R10" s="487" t="s">
        <v>279</v>
      </c>
    </row>
    <row r="11" spans="1:236">
      <c r="A11" s="522"/>
      <c r="B11" s="374"/>
      <c r="C11" s="374">
        <f>COUNT(E11:E34)</f>
        <v>24</v>
      </c>
      <c r="D11" s="375"/>
      <c r="E11" s="374">
        <v>1823</v>
      </c>
      <c r="F11" s="554" t="str">
        <f ca="1">_xll.PALO.DATAC("jedoxtest/EU_PM_CUBE02","#_Staatengruppen_und_NUTS","Langbezeichnung",$E11)</f>
        <v>Vereinigtes Königreich</v>
      </c>
      <c r="G11" s="376" t="s">
        <v>185</v>
      </c>
      <c r="H11" s="377">
        <f ca="1">_xll.PALO.DATAC("jedoxtest/EU_PM_CUBE02","EUPM_Mittel2_Cube",$D$3,"Alle Beteiligungen","Alle Koordinatoren","Alle Unternehmensgrößen","-2","Alle Organisationstypen",28,"Alle Expertevaluierungsstatus","-2","-2",$E11,"-2","Alle","-2",H$4)</f>
        <v>7292</v>
      </c>
      <c r="I11" s="377">
        <f ca="1">_xll.PALO.DATAC("jedoxtest/EU_PM_CUBE02","EUPM_Mittel2_Cube",$D$3,"Alle Beteiligungen","Alle Koordinatoren","Alle Unternehmensgrößen","-2","Alle Organisationstypen",28,"Alle Expertevaluierungsstatus","-2","-2",$E11,"-2","Alle","-2",I$4)</f>
        <v>1832196773.97001</v>
      </c>
      <c r="J11" s="530">
        <f t="shared" ref="J11:J34" ca="1" si="0">H11/$H$42</f>
        <v>5.3070938348338079E-2</v>
      </c>
      <c r="K11" s="531">
        <f t="shared" ref="K11:K34" ca="1" si="1">I11/$I$42</f>
        <v>3.1429210125548453E-2</v>
      </c>
      <c r="L11">
        <f ca="1">_xll.PALO.DATAC("jedoxtest/EU_PM_CUBE02","EUPM_Mittel2_Cube",$D$3,"Alle Beteiligungen","Alle Koordinatoren","Alle Unternehmensgrößen","-2","Alle Organisationstypen",28,"Alle Expertevaluierungsstatus","-2","-2",$E11,"-2","Alle","-2",L$4)</f>
        <v>1351</v>
      </c>
      <c r="M11" s="377">
        <f ca="1">_xll.PALO.DATAC("jedoxtest/EU_PM_CUBE02","EUPM_Mittel2_Cube",$D$3,"Alle Beteiligungen","Alle Koordinatoren","Alle Unternehmensgrößen","-2","Alle Organisationstypen",28,"Alle Expertevaluierungsstatus","-2","-2",$E11,"-2","Alle","-2",M$4)</f>
        <v>7292</v>
      </c>
      <c r="N11" s="377">
        <f ca="1">_xll.PALO.DATAC("jedoxtest/EU_PM_CUBE02","EUPM_Mittel2_Cube",$D$3,"Alle Beteiligungen","Alle Koordinatoren","Alle Unternehmensgrößen","-2","Alle Organisationstypen",28,"Alle Expertevaluierungsstatus","-2","-2",$E11,"-2","Alle","-2",N$4)</f>
        <v>1832196773.97001</v>
      </c>
      <c r="O11" s="377">
        <f ca="1">_xll.PALO.DATAC("jedoxtest/EU_PM_CUBE02","EUPM_Mittel2_Cube",$D$3,"Alle Beteiligungen","Alle Koordinatoren","Alle Unternehmensgrößen","-2","Alle Organisationstypen",28,"Alle Expertevaluierungsstatus","-2","-2",$E11,"-2","Alle","-2",O$4)</f>
        <v>1351</v>
      </c>
      <c r="P11" s="530">
        <f t="shared" ref="P11:P34" ca="1" si="2">M11/$M$42</f>
        <v>5.3070938348338079E-2</v>
      </c>
      <c r="Q11" s="530">
        <f t="shared" ref="Q11:Q34" ca="1" si="3">N11/$N$42</f>
        <v>3.1429210125548453E-2</v>
      </c>
      <c r="R11" s="530">
        <f t="shared" ref="R11:R34" ca="1" si="4">O11/$O$42</f>
        <v>5.780421016601061E-2</v>
      </c>
    </row>
    <row r="12" spans="1:236">
      <c r="A12" s="522"/>
      <c r="B12" s="374"/>
      <c r="C12" s="374"/>
      <c r="D12" s="375"/>
      <c r="E12" s="664">
        <v>154</v>
      </c>
      <c r="F12" s="555" t="str">
        <f ca="1">_xll.PALO.DATAC("jedoxtest/EU_PM_CUBE02","#_Staatengruppen_und_NUTS","Langbezeichnung",$E12)</f>
        <v>Schweiz</v>
      </c>
      <c r="G12" s="378"/>
      <c r="H12" s="379">
        <f ca="1">_xll.PALO.DATAC("jedoxtest/EU_PM_CUBE02","EUPM_Mittel2_Cube",$D$3,"Alle Beteiligungen","Alle Koordinatoren","Alle Unternehmensgrößen","-2","Alle Organisationstypen",28,"Alle Expertevaluierungsstatus","-2","-2",$E12,"-2","Alle","-2",H$4)</f>
        <v>3417</v>
      </c>
      <c r="I12" s="379">
        <f ca="1">_xll.PALO.DATAC("jedoxtest/EU_PM_CUBE02","EUPM_Mittel2_Cube",$D$3,"Alle Beteiligungen","Alle Koordinatoren","Alle Unternehmensgrößen","-2","Alle Organisationstypen",28,"Alle Expertevaluierungsstatus","-2","-2",$E12,"-2","Alle","-2",I$4)</f>
        <v>427353163.26999998</v>
      </c>
      <c r="J12" s="530">
        <f t="shared" ca="1" si="0"/>
        <v>2.4868814637448052E-2</v>
      </c>
      <c r="K12" s="531">
        <f t="shared" ca="1" si="1"/>
        <v>7.3307477433919403E-3</v>
      </c>
      <c r="L12">
        <f ca="1">_xll.PALO.DATAC("jedoxtest/EU_PM_CUBE02","EUPM_Mittel2_Cube",$D$3,"Alle Beteiligungen","Alle Koordinatoren","Alle Unternehmensgrößen","-2","Alle Organisationstypen",28,"Alle Expertevaluierungsstatus","-2","-2",$E12,"-2","Alle","-2",L$4)</f>
        <v>326</v>
      </c>
      <c r="M12" s="377">
        <f ca="1">_xll.PALO.DATAC("jedoxtest/EU_PM_CUBE02","EUPM_Mittel2_Cube",$D$3,"Alle Beteiligungen","Alle Koordinatoren","Alle Unternehmensgrößen","-2","Alle Organisationstypen",28,"Alle Expertevaluierungsstatus","-2","-2",$E12,"-2","Alle","-2",M$4)</f>
        <v>3417</v>
      </c>
      <c r="N12" s="377">
        <f ca="1">_xll.PALO.DATAC("jedoxtest/EU_PM_CUBE02","EUPM_Mittel2_Cube",$D$3,"Alle Beteiligungen","Alle Koordinatoren","Alle Unternehmensgrößen","-2","Alle Organisationstypen",28,"Alle Expertevaluierungsstatus","-2","-2",$E12,"-2","Alle","-2",N$4)</f>
        <v>427353163.26999998</v>
      </c>
      <c r="O12" s="377">
        <f ca="1">_xll.PALO.DATAC("jedoxtest/EU_PM_CUBE02","EUPM_Mittel2_Cube",$D$3,"Alle Beteiligungen","Alle Koordinatoren","Alle Unternehmensgrößen","-2","Alle Organisationstypen",28,"Alle Expertevaluierungsstatus","-2","-2",$E12,"-2","Alle","-2",O$4)</f>
        <v>326</v>
      </c>
      <c r="P12" s="530">
        <f t="shared" ca="1" si="2"/>
        <v>2.4868814637448052E-2</v>
      </c>
      <c r="Q12" s="530">
        <f t="shared" ca="1" si="3"/>
        <v>7.3307477433919403E-3</v>
      </c>
      <c r="R12" s="530">
        <f t="shared" ca="1" si="4"/>
        <v>1.3948314222146157E-2</v>
      </c>
    </row>
    <row r="13" spans="1:236">
      <c r="A13" s="522"/>
      <c r="B13" s="374"/>
      <c r="C13" s="374"/>
      <c r="D13" s="375"/>
      <c r="E13" s="374">
        <v>1409</v>
      </c>
      <c r="F13" s="555" t="str">
        <f ca="1">_xll.PALO.DATAC("jedoxtest/EU_PM_CUBE02","#_Staatengruppen_und_NUTS","Langbezeichnung",$E13)</f>
        <v>Norwegen</v>
      </c>
      <c r="G13" s="378" t="s">
        <v>184</v>
      </c>
      <c r="H13" s="379">
        <f ca="1">_xll.PALO.DATAC("jedoxtest/EU_PM_CUBE02","EUPM_Mittel2_Cube",$D$3,"Alle Beteiligungen","Alle Koordinatoren","Alle Unternehmensgrößen","-2","Alle Organisationstypen",28,"Alle Expertevaluierungsstatus","-2","-2",$E13,"-2","Alle","-2",H$4)</f>
        <v>3044</v>
      </c>
      <c r="I13" s="379">
        <f ca="1">_xll.PALO.DATAC("jedoxtest/EU_PM_CUBE02","EUPM_Mittel2_Cube",$D$3,"Alle Beteiligungen","Alle Koordinatoren","Alle Unternehmensgrößen","-2","Alle Organisationstypen",28,"Alle Expertevaluierungsstatus","-2","-2",$E13,"-2","Alle","-2",I$4)</f>
        <v>1760135845.6300001</v>
      </c>
      <c r="J13" s="530">
        <f t="shared" ca="1" si="0"/>
        <v>2.215413279379335E-2</v>
      </c>
      <c r="K13" s="531">
        <f t="shared" ca="1" si="1"/>
        <v>3.0193088497775446E-2</v>
      </c>
      <c r="L13">
        <f ca="1">_xll.PALO.DATAC("jedoxtest/EU_PM_CUBE02","EUPM_Mittel2_Cube",$D$3,"Alle Beteiligungen","Alle Koordinatoren","Alle Unternehmensgrößen","-2","Alle Organisationstypen",28,"Alle Expertevaluierungsstatus","-2","-2",$E13,"-2","Alle","-2",L$4)</f>
        <v>715</v>
      </c>
      <c r="M13" s="377">
        <f ca="1">_xll.PALO.DATAC("jedoxtest/EU_PM_CUBE02","EUPM_Mittel2_Cube",$D$3,"Alle Beteiligungen","Alle Koordinatoren","Alle Unternehmensgrößen","-2","Alle Organisationstypen",28,"Alle Expertevaluierungsstatus","-2","-2",$E13,"-2","Alle","-2",M$4)</f>
        <v>3044</v>
      </c>
      <c r="N13" s="377">
        <f ca="1">_xll.PALO.DATAC("jedoxtest/EU_PM_CUBE02","EUPM_Mittel2_Cube",$D$3,"Alle Beteiligungen","Alle Koordinatoren","Alle Unternehmensgrößen","-2","Alle Organisationstypen",28,"Alle Expertevaluierungsstatus","-2","-2",$E13,"-2","Alle","-2",N$4)</f>
        <v>1760135845.6300001</v>
      </c>
      <c r="O13" s="377">
        <f ca="1">_xll.PALO.DATAC("jedoxtest/EU_PM_CUBE02","EUPM_Mittel2_Cube",$D$3,"Alle Beteiligungen","Alle Koordinatoren","Alle Unternehmensgrößen","-2","Alle Organisationstypen",28,"Alle Expertevaluierungsstatus","-2","-2",$E13,"-2","Alle","-2",O$4)</f>
        <v>715</v>
      </c>
      <c r="P13" s="530">
        <f t="shared" ca="1" si="2"/>
        <v>2.215413279379335E-2</v>
      </c>
      <c r="Q13" s="530">
        <f t="shared" ca="1" si="3"/>
        <v>3.0193088497775446E-2</v>
      </c>
      <c r="R13" s="530">
        <f t="shared" ca="1" si="4"/>
        <v>3.0592161560842032E-2</v>
      </c>
    </row>
    <row r="14" spans="1:236">
      <c r="A14" s="522"/>
      <c r="B14" s="374"/>
      <c r="C14" s="374"/>
      <c r="D14" s="375"/>
      <c r="E14" s="374">
        <v>1703</v>
      </c>
      <c r="F14" s="555" t="str">
        <f ca="1">_xll.PALO.DATAC("jedoxtest/EU_PM_CUBE02","#_Staatengruppen_und_NUTS","Langbezeichnung",$E14)</f>
        <v>Türkei</v>
      </c>
      <c r="G14" s="378" t="s">
        <v>184</v>
      </c>
      <c r="H14" s="379">
        <f ca="1">_xll.PALO.DATAC("jedoxtest/EU_PM_CUBE02","EUPM_Mittel2_Cube",$D$3,"Alle Beteiligungen","Alle Koordinatoren","Alle Unternehmensgrößen","-2","Alle Organisationstypen",28,"Alle Expertevaluierungsstatus","-2","-2",$E14,"-2","Alle","-2",H$4)</f>
        <v>1269</v>
      </c>
      <c r="I14" s="379">
        <f ca="1">_xll.PALO.DATAC("jedoxtest/EU_PM_CUBE02","EUPM_Mittel2_Cube",$D$3,"Alle Beteiligungen","Alle Koordinatoren","Alle Unternehmensgrößen","-2","Alle Organisationstypen",28,"Alle Expertevaluierungsstatus","-2","-2",$E14,"-2","Alle","-2",I$4)</f>
        <v>398251192.68000001</v>
      </c>
      <c r="J14" s="530">
        <f t="shared" ca="1" si="0"/>
        <v>9.2357406423534041E-3</v>
      </c>
      <c r="K14" s="531">
        <f t="shared" ca="1" si="1"/>
        <v>6.8315371991233952E-3</v>
      </c>
      <c r="L14">
        <f ca="1">_xll.PALO.DATAC("jedoxtest/EU_PM_CUBE02","EUPM_Mittel2_Cube",$D$3,"Alle Beteiligungen","Alle Koordinatoren","Alle Unternehmensgrößen","-2","Alle Organisationstypen",28,"Alle Expertevaluierungsstatus","-2","-2",$E14,"-2","Alle","-2",L$4)</f>
        <v>159</v>
      </c>
      <c r="M14" s="377">
        <f ca="1">_xll.PALO.DATAC("jedoxtest/EU_PM_CUBE02","EUPM_Mittel2_Cube",$D$3,"Alle Beteiligungen","Alle Koordinatoren","Alle Unternehmensgrößen","-2","Alle Organisationstypen",28,"Alle Expertevaluierungsstatus","-2","-2",$E14,"-2","Alle","-2",M$4)</f>
        <v>1269</v>
      </c>
      <c r="N14" s="377">
        <f ca="1">_xll.PALO.DATAC("jedoxtest/EU_PM_CUBE02","EUPM_Mittel2_Cube",$D$3,"Alle Beteiligungen","Alle Koordinatoren","Alle Unternehmensgrößen","-2","Alle Organisationstypen",28,"Alle Expertevaluierungsstatus","-2","-2",$E14,"-2","Alle","-2",N$4)</f>
        <v>398251192.68000001</v>
      </c>
      <c r="O14" s="377">
        <f ca="1">_xll.PALO.DATAC("jedoxtest/EU_PM_CUBE02","EUPM_Mittel2_Cube",$D$3,"Alle Beteiligungen","Alle Koordinatoren","Alle Unternehmensgrößen","-2","Alle Organisationstypen",28,"Alle Expertevaluierungsstatus","-2","-2",$E14,"-2","Alle","-2",O$4)</f>
        <v>159</v>
      </c>
      <c r="P14" s="530">
        <f t="shared" ca="1" si="2"/>
        <v>9.2357406423534041E-3</v>
      </c>
      <c r="Q14" s="530">
        <f t="shared" ca="1" si="3"/>
        <v>6.8315371991233952E-3</v>
      </c>
      <c r="R14" s="530">
        <f t="shared" ca="1" si="4"/>
        <v>6.8030121512921444E-3</v>
      </c>
    </row>
    <row r="15" spans="1:236">
      <c r="A15" s="522"/>
      <c r="B15" s="374"/>
      <c r="D15" s="375"/>
      <c r="E15" s="374">
        <v>10007</v>
      </c>
      <c r="F15" s="555" t="str">
        <f ca="1">_xll.PALO.DATAC("jedoxtest/EU_PM_CUBE02","#_Staatengruppen_und_NUTS","Langbezeichnung",$E15)</f>
        <v>Israel</v>
      </c>
      <c r="G15" s="378" t="s">
        <v>184</v>
      </c>
      <c r="H15" s="379">
        <f ca="1">_xll.PALO.DATAC("jedoxtest/EU_PM_CUBE02","EUPM_Mittel2_Cube",$D$3,"Alle Beteiligungen","Alle Koordinatoren","Alle Unternehmensgrößen","-2","Alle Organisationstypen",28,"Alle Expertevaluierungsstatus","-2","-2",$E15,"-2","Alle","-2",H$4)</f>
        <v>1120</v>
      </c>
      <c r="I15" s="379">
        <f ca="1">_xll.PALO.DATAC("jedoxtest/EU_PM_CUBE02","EUPM_Mittel2_Cube",$D$3,"Alle Beteiligungen","Alle Koordinatoren","Alle Unternehmensgrößen","-2","Alle Organisationstypen",28,"Alle Expertevaluierungsstatus","-2","-2",$E15,"-2","Alle","-2",I$4)</f>
        <v>979410794.44000006</v>
      </c>
      <c r="J15" s="530">
        <f t="shared" ca="1" si="0"/>
        <v>8.1513234983733741E-3</v>
      </c>
      <c r="K15" s="531">
        <f t="shared" ca="1" si="1"/>
        <v>1.6800655963925933E-2</v>
      </c>
      <c r="L15">
        <f ca="1">_xll.PALO.DATAC("jedoxtest/EU_PM_CUBE02","EUPM_Mittel2_Cube",$D$3,"Alle Beteiligungen","Alle Koordinatoren","Alle Unternehmensgrößen","-2","Alle Organisationstypen",28,"Alle Expertevaluierungsstatus","-2","-2",$E15,"-2","Alle","-2",L$4)</f>
        <v>512</v>
      </c>
      <c r="M15" s="377">
        <f ca="1">_xll.PALO.DATAC("jedoxtest/EU_PM_CUBE02","EUPM_Mittel2_Cube",$D$3,"Alle Beteiligungen","Alle Koordinatoren","Alle Unternehmensgrößen","-2","Alle Organisationstypen",28,"Alle Expertevaluierungsstatus","-2","-2",$E15,"-2","Alle","-2",M$4)</f>
        <v>1120</v>
      </c>
      <c r="N15" s="377">
        <f ca="1">_xll.PALO.DATAC("jedoxtest/EU_PM_CUBE02","EUPM_Mittel2_Cube",$D$3,"Alle Beteiligungen","Alle Koordinatoren","Alle Unternehmensgrößen","-2","Alle Organisationstypen",28,"Alle Expertevaluierungsstatus","-2","-2",$E15,"-2","Alle","-2",N$4)</f>
        <v>979410794.44000006</v>
      </c>
      <c r="O15" s="377">
        <f ca="1">_xll.PALO.DATAC("jedoxtest/EU_PM_CUBE02","EUPM_Mittel2_Cube",$D$3,"Alle Beteiligungen","Alle Koordinatoren","Alle Unternehmensgrößen","-2","Alle Organisationstypen",28,"Alle Expertevaluierungsstatus","-2","-2",$E15,"-2","Alle","-2",O$4)</f>
        <v>512</v>
      </c>
      <c r="P15" s="530">
        <f t="shared" ca="1" si="2"/>
        <v>8.1513234983733741E-3</v>
      </c>
      <c r="Q15" s="530">
        <f t="shared" ca="1" si="3"/>
        <v>1.6800655963925933E-2</v>
      </c>
      <c r="R15" s="530">
        <f t="shared" ca="1" si="4"/>
        <v>2.1906554851959609E-2</v>
      </c>
    </row>
    <row r="16" spans="1:236">
      <c r="A16" s="522"/>
      <c r="B16" s="374"/>
      <c r="D16" s="374">
        <v>10003</v>
      </c>
      <c r="E16" s="528">
        <v>2882</v>
      </c>
      <c r="F16" s="555" t="str">
        <f ca="1">_xll.PALO.DATAC("jedoxtest/EU_PM_CUBE02","#_Staatengruppen_und_NUTS","Langbezeichnung",$E16)</f>
        <v>Serbia</v>
      </c>
      <c r="G16" s="378" t="s">
        <v>185</v>
      </c>
      <c r="H16" s="379">
        <f ca="1">_xll.PALO.DATAC("jedoxtest/EU_PM_CUBE02","EUPM_Mittel2_Cube",$D$3,"Alle Beteiligungen","Alle Koordinatoren","Alle Unternehmensgrößen","-2","Alle Organisationstypen",28,"Alle Expertevaluierungsstatus","-2","-2",$E16,"-2","Alle","-2",H$4)</f>
        <v>620</v>
      </c>
      <c r="I16" s="379">
        <f ca="1">_xll.PALO.DATAC("jedoxtest/EU_PM_CUBE02","EUPM_Mittel2_Cube",$D$3,"Alle Beteiligungen","Alle Koordinatoren","Alle Unternehmensgrößen","-2","Alle Organisationstypen",28,"Alle Expertevaluierungsstatus","-2","-2",$E16,"-2","Alle","-2",I$4)</f>
        <v>155064956.63999999</v>
      </c>
      <c r="J16" s="530">
        <f t="shared" ca="1" si="0"/>
        <v>4.512339793742404E-3</v>
      </c>
      <c r="K16" s="531">
        <f t="shared" ca="1" si="1"/>
        <v>2.6599594402666443E-3</v>
      </c>
      <c r="L16">
        <f ca="1">_xll.PALO.DATAC("jedoxtest/EU_PM_CUBE02","EUPM_Mittel2_Cube",$D$3,"Alle Beteiligungen","Alle Koordinatoren","Alle Unternehmensgrößen","-2","Alle Organisationstypen",28,"Alle Expertevaluierungsstatus","-2","-2",$E16,"-2","Alle","-2",L$4)</f>
        <v>63</v>
      </c>
      <c r="M16" s="377">
        <f ca="1">_xll.PALO.DATAC("jedoxtest/EU_PM_CUBE02","EUPM_Mittel2_Cube",$D$3,"Alle Beteiligungen","Alle Koordinatoren","Alle Unternehmensgrößen","-2","Alle Organisationstypen",28,"Alle Expertevaluierungsstatus","-2","-2",$E16,"-2","Alle","-2",M$4)</f>
        <v>620</v>
      </c>
      <c r="N16" s="377">
        <f ca="1">_xll.PALO.DATAC("jedoxtest/EU_PM_CUBE02","EUPM_Mittel2_Cube",$D$3,"Alle Beteiligungen","Alle Koordinatoren","Alle Unternehmensgrößen","-2","Alle Organisationstypen",28,"Alle Expertevaluierungsstatus","-2","-2",$E16,"-2","Alle","-2",N$4)</f>
        <v>155064956.63999999</v>
      </c>
      <c r="O16" s="377">
        <f ca="1">_xll.PALO.DATAC("jedoxtest/EU_PM_CUBE02","EUPM_Mittel2_Cube",$D$3,"Alle Beteiligungen","Alle Koordinatoren","Alle Unternehmensgrößen","-2","Alle Organisationstypen",28,"Alle Expertevaluierungsstatus","-2","-2",$E16,"-2","Alle","-2",O$4)</f>
        <v>63</v>
      </c>
      <c r="P16" s="530">
        <f t="shared" ca="1" si="2"/>
        <v>4.512339793742404E-3</v>
      </c>
      <c r="Q16" s="530">
        <f t="shared" ca="1" si="3"/>
        <v>2.6599594402666443E-3</v>
      </c>
      <c r="R16" s="530">
        <f t="shared" ca="1" si="4"/>
        <v>2.6955331165497178E-3</v>
      </c>
    </row>
    <row r="17" spans="1:18">
      <c r="A17" s="522"/>
      <c r="B17" s="374"/>
      <c r="D17" s="375"/>
      <c r="E17" s="664">
        <v>10209</v>
      </c>
      <c r="F17" s="555" t="str">
        <f ca="1">_xll.PALO.DATAC("jedoxtest/EU_PM_CUBE02","#_Staatengruppen_und_NUTS","Langbezeichnung",$E17)</f>
        <v>Canada</v>
      </c>
      <c r="G17" s="378"/>
      <c r="H17" s="379">
        <f ca="1">_xll.PALO.DATAC("jedoxtest/EU_PM_CUBE02","EUPM_Mittel2_Cube",$D$3,"Alle Beteiligungen","Alle Koordinatoren","Alle Unternehmensgrößen","-2","Alle Organisationstypen",28,"Alle Expertevaluierungsstatus","-2","-2",$E17,"-2","Alle","-2",H$4)</f>
        <v>438</v>
      </c>
      <c r="I17" s="379">
        <f ca="1">_xll.PALO.DATAC("jedoxtest/EU_PM_CUBE02","EUPM_Mittel2_Cube",$D$3,"Alle Beteiligungen","Alle Koordinatoren","Alle Unternehmensgrößen","-2","Alle Organisationstypen",28,"Alle Expertevaluierungsstatus","-2","-2",$E17,"-2","Alle","-2",I$4)</f>
        <v>83222432.909999996</v>
      </c>
      <c r="J17" s="530">
        <f t="shared" ca="1" si="0"/>
        <v>3.1877497252567302E-3</v>
      </c>
      <c r="K17" s="531">
        <f t="shared" ca="1" si="1"/>
        <v>1.4275842902071183E-3</v>
      </c>
      <c r="L17">
        <f ca="1">_xll.PALO.DATAC("jedoxtest/EU_PM_CUBE02","EUPM_Mittel2_Cube",$D$3,"Alle Beteiligungen","Alle Koordinatoren","Alle Unternehmensgrößen","-2","Alle Organisationstypen",28,"Alle Expertevaluierungsstatus","-2","-2",$E17,"-2","Alle","-2",L$4)</f>
        <v>4</v>
      </c>
      <c r="M17" s="377">
        <f ca="1">_xll.PALO.DATAC("jedoxtest/EU_PM_CUBE02","EUPM_Mittel2_Cube",$D$3,"Alle Beteiligungen","Alle Koordinatoren","Alle Unternehmensgrößen","-2","Alle Organisationstypen",28,"Alle Expertevaluierungsstatus","-2","-2",$E17,"-2","Alle","-2",M$4)</f>
        <v>438</v>
      </c>
      <c r="N17" s="377">
        <f ca="1">_xll.PALO.DATAC("jedoxtest/EU_PM_CUBE02","EUPM_Mittel2_Cube",$D$3,"Alle Beteiligungen","Alle Koordinatoren","Alle Unternehmensgrößen","-2","Alle Organisationstypen",28,"Alle Expertevaluierungsstatus","-2","-2",$E17,"-2","Alle","-2",N$4)</f>
        <v>83222432.909999996</v>
      </c>
      <c r="O17" s="377">
        <f ca="1">_xll.PALO.DATAC("jedoxtest/EU_PM_CUBE02","EUPM_Mittel2_Cube",$D$3,"Alle Beteiligungen","Alle Koordinatoren","Alle Unternehmensgrößen","-2","Alle Organisationstypen",28,"Alle Expertevaluierungsstatus","-2","-2",$E17,"-2","Alle","-2",O$4)</f>
        <v>4</v>
      </c>
      <c r="P17" s="530">
        <f t="shared" ca="1" si="2"/>
        <v>3.1877497252567302E-3</v>
      </c>
      <c r="Q17" s="530">
        <f t="shared" ca="1" si="3"/>
        <v>1.4275842902071183E-3</v>
      </c>
      <c r="R17" s="530">
        <f t="shared" ca="1" si="4"/>
        <v>1.7114495978093444E-4</v>
      </c>
    </row>
    <row r="18" spans="1:18">
      <c r="A18" s="522"/>
      <c r="B18" s="374"/>
      <c r="D18" s="374"/>
      <c r="E18" s="374">
        <v>10053</v>
      </c>
      <c r="F18" s="555" t="str">
        <f ca="1">_xll.PALO.DATAC("jedoxtest/EU_PM_CUBE02","#_Staatengruppen_und_NUTS","Langbezeichnung",$E18)</f>
        <v>Ukraine</v>
      </c>
      <c r="G18" s="378" t="s">
        <v>184</v>
      </c>
      <c r="H18" s="379">
        <f ca="1">_xll.PALO.DATAC("jedoxtest/EU_PM_CUBE02","EUPM_Mittel2_Cube",$D$3,"Alle Beteiligungen","Alle Koordinatoren","Alle Unternehmensgrößen","-2","Alle Organisationstypen",28,"Alle Expertevaluierungsstatus","-2","-2",$E18,"-2","Alle","-2",H$4)</f>
        <v>427</v>
      </c>
      <c r="I18" s="379">
        <f ca="1">_xll.PALO.DATAC("jedoxtest/EU_PM_CUBE02","EUPM_Mittel2_Cube",$D$3,"Alle Beteiligungen","Alle Koordinatoren","Alle Unternehmensgrößen","-2","Alle Organisationstypen",28,"Alle Expertevaluierungsstatus","-2","-2",$E18,"-2","Alle","-2",I$4)</f>
        <v>70858542.980000004</v>
      </c>
      <c r="J18" s="530">
        <f t="shared" ca="1" si="0"/>
        <v>3.107692083754849E-3</v>
      </c>
      <c r="K18" s="531">
        <f t="shared" ca="1" si="1"/>
        <v>1.215496101809575E-3</v>
      </c>
      <c r="L18">
        <f ca="1">_xll.PALO.DATAC("jedoxtest/EU_PM_CUBE02","EUPM_Mittel2_Cube",$D$3,"Alle Beteiligungen","Alle Koordinatoren","Alle Unternehmensgrößen","-2","Alle Organisationstypen",28,"Alle Expertevaluierungsstatus","-2","-2",$E18,"-2","Alle","-2",L$4)</f>
        <v>14</v>
      </c>
      <c r="M18" s="377">
        <f ca="1">_xll.PALO.DATAC("jedoxtest/EU_PM_CUBE02","EUPM_Mittel2_Cube",$D$3,"Alle Beteiligungen","Alle Koordinatoren","Alle Unternehmensgrößen","-2","Alle Organisationstypen",28,"Alle Expertevaluierungsstatus","-2","-2",$E18,"-2","Alle","-2",M$4)</f>
        <v>427</v>
      </c>
      <c r="N18" s="377">
        <f ca="1">_xll.PALO.DATAC("jedoxtest/EU_PM_CUBE02","EUPM_Mittel2_Cube",$D$3,"Alle Beteiligungen","Alle Koordinatoren","Alle Unternehmensgrößen","-2","Alle Organisationstypen",28,"Alle Expertevaluierungsstatus","-2","-2",$E18,"-2","Alle","-2",N$4)</f>
        <v>70858542.980000004</v>
      </c>
      <c r="O18" s="377">
        <f ca="1">_xll.PALO.DATAC("jedoxtest/EU_PM_CUBE02","EUPM_Mittel2_Cube",$D$3,"Alle Beteiligungen","Alle Koordinatoren","Alle Unternehmensgrößen","-2","Alle Organisationstypen",28,"Alle Expertevaluierungsstatus","-2","-2",$E18,"-2","Alle","-2",O$4)</f>
        <v>14</v>
      </c>
      <c r="P18" s="530">
        <f t="shared" ca="1" si="2"/>
        <v>3.107692083754849E-3</v>
      </c>
      <c r="Q18" s="530">
        <f t="shared" ca="1" si="3"/>
        <v>1.215496101809575E-3</v>
      </c>
      <c r="R18" s="530">
        <f t="shared" ca="1" si="4"/>
        <v>5.9900735923327055E-4</v>
      </c>
    </row>
    <row r="19" spans="1:18">
      <c r="A19" s="522"/>
      <c r="B19" s="374"/>
      <c r="D19" s="374"/>
      <c r="E19" s="374">
        <v>1149</v>
      </c>
      <c r="F19" s="555" t="str">
        <f ca="1">_xll.PALO.DATAC("jedoxtest/EU_PM_CUBE02","#_Staatengruppen_und_NUTS","Langbezeichnung",$E19)</f>
        <v>Island</v>
      </c>
      <c r="G19" s="378" t="s">
        <v>184</v>
      </c>
      <c r="H19" s="379">
        <f ca="1">_xll.PALO.DATAC("jedoxtest/EU_PM_CUBE02","EUPM_Mittel2_Cube",$D$3,"Alle Beteiligungen","Alle Koordinatoren","Alle Unternehmensgrößen","-2","Alle Organisationstypen",28,"Alle Expertevaluierungsstatus","-2","-2",$E19,"-2","Alle","-2",H$4)</f>
        <v>241</v>
      </c>
      <c r="I19" s="379">
        <f ca="1">_xll.PALO.DATAC("jedoxtest/EU_PM_CUBE02","EUPM_Mittel2_Cube",$D$3,"Alle Beteiligungen","Alle Koordinatoren","Alle Unternehmensgrößen","-2","Alle Organisationstypen",28,"Alle Expertevaluierungsstatus","-2","-2",$E19,"-2","Alle","-2",I$4)</f>
        <v>110308943.23</v>
      </c>
      <c r="J19" s="530">
        <f t="shared" ca="1" si="0"/>
        <v>1.7539901456321279E-3</v>
      </c>
      <c r="K19" s="531">
        <f t="shared" ca="1" si="1"/>
        <v>1.8922219516797453E-3</v>
      </c>
      <c r="L19">
        <f ca="1">_xll.PALO.DATAC("jedoxtest/EU_PM_CUBE02","EUPM_Mittel2_Cube",$D$3,"Alle Beteiligungen","Alle Koordinatoren","Alle Unternehmensgrößen","-2","Alle Organisationstypen",28,"Alle Expertevaluierungsstatus","-2","-2",$E19,"-2","Alle","-2",L$4)</f>
        <v>29</v>
      </c>
      <c r="M19" s="377">
        <f ca="1">_xll.PALO.DATAC("jedoxtest/EU_PM_CUBE02","EUPM_Mittel2_Cube",$D$3,"Alle Beteiligungen","Alle Koordinatoren","Alle Unternehmensgrößen","-2","Alle Organisationstypen",28,"Alle Expertevaluierungsstatus","-2","-2",$E19,"-2","Alle","-2",M$4)</f>
        <v>241</v>
      </c>
      <c r="N19" s="377">
        <f ca="1">_xll.PALO.DATAC("jedoxtest/EU_PM_CUBE02","EUPM_Mittel2_Cube",$D$3,"Alle Beteiligungen","Alle Koordinatoren","Alle Unternehmensgrößen","-2","Alle Organisationstypen",28,"Alle Expertevaluierungsstatus","-2","-2",$E19,"-2","Alle","-2",N$4)</f>
        <v>110308943.23</v>
      </c>
      <c r="O19" s="377">
        <f ca="1">_xll.PALO.DATAC("jedoxtest/EU_PM_CUBE02","EUPM_Mittel2_Cube",$D$3,"Alle Beteiligungen","Alle Koordinatoren","Alle Unternehmensgrößen","-2","Alle Organisationstypen",28,"Alle Expertevaluierungsstatus","-2","-2",$E19,"-2","Alle","-2",O$4)</f>
        <v>29</v>
      </c>
      <c r="P19" s="530">
        <f t="shared" ca="1" si="2"/>
        <v>1.7539901456321279E-3</v>
      </c>
      <c r="Q19" s="530">
        <f t="shared" ca="1" si="3"/>
        <v>1.8922219516797453E-3</v>
      </c>
      <c r="R19" s="530">
        <f t="shared" ca="1" si="4"/>
        <v>1.2408009584117749E-3</v>
      </c>
    </row>
    <row r="20" spans="1:18">
      <c r="A20" s="522"/>
      <c r="B20" s="374"/>
      <c r="D20" s="375"/>
      <c r="E20" s="678">
        <v>10130</v>
      </c>
      <c r="F20" s="555" t="str">
        <f ca="1">_xll.PALO.DATAC("jedoxtest/EU_PM_CUBE02","#_Staatengruppen_und_NUTS","Langbezeichnung",$E20)</f>
        <v>Japan</v>
      </c>
      <c r="G20" s="378" t="s">
        <v>184</v>
      </c>
      <c r="H20" s="379">
        <f ca="1">_xll.PALO.DATAC("jedoxtest/EU_PM_CUBE02","EUPM_Mittel2_Cube",$D$3,"Alle Beteiligungen","Alle Koordinatoren","Alle Unternehmensgrößen","-2","Alle Organisationstypen",28,"Alle Expertevaluierungsstatus","-2","-2",$E20,"-2","Alle","-2",H$4)</f>
        <v>213</v>
      </c>
      <c r="I20" s="379">
        <f ca="1">_xll.PALO.DATAC("jedoxtest/EU_PM_CUBE02","EUPM_Mittel2_Cube",$D$3,"Alle Beteiligungen","Alle Koordinatoren","Alle Unternehmensgrößen","-2","Alle Organisationstypen",28,"Alle Expertevaluierungsstatus","-2","-2",$E20,"-2","Alle","-2",I$4)</f>
        <v>1480230.58</v>
      </c>
      <c r="J20" s="530">
        <f t="shared" ca="1" si="0"/>
        <v>1.5502070581727935E-3</v>
      </c>
      <c r="K20" s="531">
        <f t="shared" ca="1" si="1"/>
        <v>2.5391638384057078E-5</v>
      </c>
      <c r="L20">
        <f ca="1">_xll.PALO.DATAC("jedoxtest/EU_PM_CUBE02","EUPM_Mittel2_Cube",$D$3,"Alle Beteiligungen","Alle Koordinatoren","Alle Unternehmensgrößen","-2","Alle Organisationstypen",28,"Alle Expertevaluierungsstatus","-2","-2",$E20,"-2","Alle","-2",L$4)</f>
        <v>0</v>
      </c>
      <c r="M20" s="377">
        <f ca="1">_xll.PALO.DATAC("jedoxtest/EU_PM_CUBE02","EUPM_Mittel2_Cube",$D$3,"Alle Beteiligungen","Alle Koordinatoren","Alle Unternehmensgrößen","-2","Alle Organisationstypen",28,"Alle Expertevaluierungsstatus","-2","-2",$E20,"-2","Alle","-2",M$4)</f>
        <v>213</v>
      </c>
      <c r="N20" s="377">
        <f ca="1">_xll.PALO.DATAC("jedoxtest/EU_PM_CUBE02","EUPM_Mittel2_Cube",$D$3,"Alle Beteiligungen","Alle Koordinatoren","Alle Unternehmensgrößen","-2","Alle Organisationstypen",28,"Alle Expertevaluierungsstatus","-2","-2",$E20,"-2","Alle","-2",N$4)</f>
        <v>1480230.58</v>
      </c>
      <c r="O20" s="377">
        <f ca="1">_xll.PALO.DATAC("jedoxtest/EU_PM_CUBE02","EUPM_Mittel2_Cube",$D$3,"Alle Beteiligungen","Alle Koordinatoren","Alle Unternehmensgrößen","-2","Alle Organisationstypen",28,"Alle Expertevaluierungsstatus","-2","-2",$E20,"-2","Alle","-2",O$4)</f>
        <v>0</v>
      </c>
      <c r="P20" s="530">
        <f t="shared" ca="1" si="2"/>
        <v>1.5502070581727935E-3</v>
      </c>
      <c r="Q20" s="530">
        <f t="shared" ca="1" si="3"/>
        <v>2.5391638384057078E-5</v>
      </c>
      <c r="R20" s="530">
        <f t="shared" ca="1" si="4"/>
        <v>0</v>
      </c>
    </row>
    <row r="21" spans="1:18">
      <c r="A21" s="522"/>
      <c r="B21" s="374"/>
      <c r="D21" s="375"/>
      <c r="E21" s="679">
        <v>10138</v>
      </c>
      <c r="F21" s="555" t="str">
        <f ca="1">_xll.PALO.DATAC("jedoxtest/EU_PM_CUBE02","#_Staatengruppen_und_NUTS","Langbezeichnung",$E21)</f>
        <v>Korea (Republic of)</v>
      </c>
      <c r="G21" s="378" t="s">
        <v>184</v>
      </c>
      <c r="H21" s="379">
        <f ca="1">_xll.PALO.DATAC("jedoxtest/EU_PM_CUBE02","EUPM_Mittel2_Cube",$D$3,"Alle Beteiligungen","Alle Koordinatoren","Alle Unternehmensgrößen","-2","Alle Organisationstypen",28,"Alle Expertevaluierungsstatus","-2","-2",$E21,"-2","Alle","-2",H$4)</f>
        <v>114</v>
      </c>
      <c r="I21" s="379">
        <f ca="1">_xll.PALO.DATAC("jedoxtest/EU_PM_CUBE02","EUPM_Mittel2_Cube",$D$3,"Alle Beteiligungen","Alle Koordinatoren","Alle Unternehmensgrößen","-2","Alle Organisationstypen",28,"Alle Expertevaluierungsstatus","-2","-2",$E21,"-2","Alle","-2",I$4)</f>
        <v>12668879.83</v>
      </c>
      <c r="J21" s="530">
        <f t="shared" ca="1" si="0"/>
        <v>8.2968828465586136E-4</v>
      </c>
      <c r="K21" s="531">
        <f t="shared" ca="1" si="1"/>
        <v>2.1731993631318879E-4</v>
      </c>
      <c r="L21">
        <f ca="1">_xll.PALO.DATAC("jedoxtest/EU_PM_CUBE02","EUPM_Mittel2_Cube",$D$3,"Alle Beteiligungen","Alle Koordinatoren","Alle Unternehmensgrößen","-2","Alle Organisationstypen",28,"Alle Expertevaluierungsstatus","-2","-2",$E21,"-2","Alle","-2",L$4)</f>
        <v>0</v>
      </c>
      <c r="M21" s="377">
        <f ca="1">_xll.PALO.DATAC("jedoxtest/EU_PM_CUBE02","EUPM_Mittel2_Cube",$D$3,"Alle Beteiligungen","Alle Koordinatoren","Alle Unternehmensgrößen","-2","Alle Organisationstypen",28,"Alle Expertevaluierungsstatus","-2","-2",$E21,"-2","Alle","-2",M$4)</f>
        <v>114</v>
      </c>
      <c r="N21" s="377">
        <f ca="1">_xll.PALO.DATAC("jedoxtest/EU_PM_CUBE02","EUPM_Mittel2_Cube",$D$3,"Alle Beteiligungen","Alle Koordinatoren","Alle Unternehmensgrößen","-2","Alle Organisationstypen",28,"Alle Expertevaluierungsstatus","-2","-2",$E21,"-2","Alle","-2",N$4)</f>
        <v>12668879.83</v>
      </c>
      <c r="O21" s="377">
        <f ca="1">_xll.PALO.DATAC("jedoxtest/EU_PM_CUBE02","EUPM_Mittel2_Cube",$D$3,"Alle Beteiligungen","Alle Koordinatoren","Alle Unternehmensgrößen","-2","Alle Organisationstypen",28,"Alle Expertevaluierungsstatus","-2","-2",$E21,"-2","Alle","-2",O$4)</f>
        <v>0</v>
      </c>
      <c r="P21" s="530">
        <f t="shared" ca="1" si="2"/>
        <v>8.2968828465586136E-4</v>
      </c>
      <c r="Q21" s="530">
        <f t="shared" ca="1" si="3"/>
        <v>2.1731993631318879E-4</v>
      </c>
      <c r="R21" s="530">
        <f t="shared" ca="1" si="4"/>
        <v>0</v>
      </c>
    </row>
    <row r="22" spans="1:18">
      <c r="A22" s="522"/>
      <c r="B22" s="374"/>
      <c r="D22" s="374"/>
      <c r="E22" s="374">
        <v>1330</v>
      </c>
      <c r="F22" s="555" t="str">
        <f ca="1">_xll.PALO.DATAC("jedoxtest/EU_PM_CUBE02","#_Staatengruppen_und_NUTS","Langbezeichnung",$E22)</f>
        <v>North Macedonia</v>
      </c>
      <c r="G22" s="378" t="s">
        <v>184</v>
      </c>
      <c r="H22" s="379">
        <f ca="1">_xll.PALO.DATAC("jedoxtest/EU_PM_CUBE02","EUPM_Mittel2_Cube",$D$3,"Alle Beteiligungen","Alle Koordinatoren","Alle Unternehmensgrößen","-2","Alle Organisationstypen",28,"Alle Expertevaluierungsstatus","-2","-2",$E22,"-2","Alle","-2",H$4)</f>
        <v>108</v>
      </c>
      <c r="I22" s="379">
        <f ca="1">_xll.PALO.DATAC("jedoxtest/EU_PM_CUBE02","EUPM_Mittel2_Cube",$D$3,"Alle Beteiligungen","Alle Koordinatoren","Alle Unternehmensgrößen","-2","Alle Organisationstypen",28,"Alle Expertevaluierungsstatus","-2","-2",$E22,"-2","Alle","-2",I$4)</f>
        <v>17252599.190000001</v>
      </c>
      <c r="J22" s="530">
        <f t="shared" ca="1" si="0"/>
        <v>7.860204802002897E-4</v>
      </c>
      <c r="K22" s="531">
        <f t="shared" ca="1" si="1"/>
        <v>2.9594832436008456E-4</v>
      </c>
      <c r="L22">
        <f ca="1">_xll.PALO.DATAC("jedoxtest/EU_PM_CUBE02","EUPM_Mittel2_Cube",$D$3,"Alle Beteiligungen","Alle Koordinatoren","Alle Unternehmensgrößen","-2","Alle Organisationstypen",28,"Alle Expertevaluierungsstatus","-2","-2",$E22,"-2","Alle","-2",L$4)</f>
        <v>3</v>
      </c>
      <c r="M22" s="377">
        <f ca="1">_xll.PALO.DATAC("jedoxtest/EU_PM_CUBE02","EUPM_Mittel2_Cube",$D$3,"Alle Beteiligungen","Alle Koordinatoren","Alle Unternehmensgrößen","-2","Alle Organisationstypen",28,"Alle Expertevaluierungsstatus","-2","-2",$E22,"-2","Alle","-2",M$4)</f>
        <v>108</v>
      </c>
      <c r="N22" s="377">
        <f ca="1">_xll.PALO.DATAC("jedoxtest/EU_PM_CUBE02","EUPM_Mittel2_Cube",$D$3,"Alle Beteiligungen","Alle Koordinatoren","Alle Unternehmensgrößen","-2","Alle Organisationstypen",28,"Alle Expertevaluierungsstatus","-2","-2",$E22,"-2","Alle","-2",N$4)</f>
        <v>17252599.190000001</v>
      </c>
      <c r="O22" s="377">
        <f ca="1">_xll.PALO.DATAC("jedoxtest/EU_PM_CUBE02","EUPM_Mittel2_Cube",$D$3,"Alle Beteiligungen","Alle Koordinatoren","Alle Unternehmensgrößen","-2","Alle Organisationstypen",28,"Alle Expertevaluierungsstatus","-2","-2",$E22,"-2","Alle","-2",O$4)</f>
        <v>3</v>
      </c>
      <c r="P22" s="530">
        <f t="shared" ca="1" si="2"/>
        <v>7.860204802002897E-4</v>
      </c>
      <c r="Q22" s="530">
        <f t="shared" ca="1" si="3"/>
        <v>2.9594832436008456E-4</v>
      </c>
      <c r="R22" s="530">
        <f t="shared" ca="1" si="4"/>
        <v>1.2835871983570083E-4</v>
      </c>
    </row>
    <row r="23" spans="1:18">
      <c r="A23" s="522"/>
      <c r="B23" s="374"/>
      <c r="D23" s="374"/>
      <c r="E23" s="374">
        <v>10008</v>
      </c>
      <c r="F23" s="555" t="str">
        <f ca="1">_xll.PALO.DATAC("jedoxtest/EU_PM_CUBE02","#_Staatengruppen_und_NUTS","Langbezeichnung",$E23)</f>
        <v>Moldova (Republic of)</v>
      </c>
      <c r="G23" s="378" t="s">
        <v>184</v>
      </c>
      <c r="H23" s="379">
        <f ca="1">_xll.PALO.DATAC("jedoxtest/EU_PM_CUBE02","EUPM_Mittel2_Cube",$D$3,"Alle Beteiligungen","Alle Koordinatoren","Alle Unternehmensgrößen","-2","Alle Organisationstypen",28,"Alle Expertevaluierungsstatus","-2","-2",$E23,"-2","Alle","-2",H$4)</f>
        <v>107</v>
      </c>
      <c r="I23" s="379">
        <f ca="1">_xll.PALO.DATAC("jedoxtest/EU_PM_CUBE02","EUPM_Mittel2_Cube",$D$3,"Alle Beteiligungen","Alle Koordinatoren","Alle Unternehmensgrößen","-2","Alle Organisationstypen",28,"Alle Expertevaluierungsstatus","-2","-2",$E23,"-2","Alle","-2",I$4)</f>
        <v>12829067.619999999</v>
      </c>
      <c r="J23" s="530">
        <f t="shared" ca="1" si="0"/>
        <v>7.7874251279102776E-4</v>
      </c>
      <c r="K23" s="531">
        <f t="shared" ca="1" si="1"/>
        <v>2.2006777201674606E-4</v>
      </c>
      <c r="L23">
        <f ca="1">_xll.PALO.DATAC("jedoxtest/EU_PM_CUBE02","EUPM_Mittel2_Cube",$D$3,"Alle Beteiligungen","Alle Koordinatoren","Alle Unternehmensgrößen","-2","Alle Organisationstypen",28,"Alle Expertevaluierungsstatus","-2","-2",$E23,"-2","Alle","-2",L$4)</f>
        <v>3</v>
      </c>
      <c r="M23" s="377">
        <f ca="1">_xll.PALO.DATAC("jedoxtest/EU_PM_CUBE02","EUPM_Mittel2_Cube",$D$3,"Alle Beteiligungen","Alle Koordinatoren","Alle Unternehmensgrößen","-2","Alle Organisationstypen",28,"Alle Expertevaluierungsstatus","-2","-2",$E23,"-2","Alle","-2",M$4)</f>
        <v>107</v>
      </c>
      <c r="N23" s="377">
        <f ca="1">_xll.PALO.DATAC("jedoxtest/EU_PM_CUBE02","EUPM_Mittel2_Cube",$D$3,"Alle Beteiligungen","Alle Koordinatoren","Alle Unternehmensgrößen","-2","Alle Organisationstypen",28,"Alle Expertevaluierungsstatus","-2","-2",$E23,"-2","Alle","-2",N$4)</f>
        <v>12829067.619999999</v>
      </c>
      <c r="O23" s="377">
        <f ca="1">_xll.PALO.DATAC("jedoxtest/EU_PM_CUBE02","EUPM_Mittel2_Cube",$D$3,"Alle Beteiligungen","Alle Koordinatoren","Alle Unternehmensgrößen","-2","Alle Organisationstypen",28,"Alle Expertevaluierungsstatus","-2","-2",$E23,"-2","Alle","-2",O$4)</f>
        <v>3</v>
      </c>
      <c r="P23" s="530">
        <f t="shared" ca="1" si="2"/>
        <v>7.7874251279102776E-4</v>
      </c>
      <c r="Q23" s="530">
        <f t="shared" ca="1" si="3"/>
        <v>2.2006777201674606E-4</v>
      </c>
      <c r="R23" s="530">
        <f t="shared" ca="1" si="4"/>
        <v>1.2835871983570083E-4</v>
      </c>
    </row>
    <row r="24" spans="1:18">
      <c r="A24" s="522"/>
      <c r="B24" s="374"/>
      <c r="D24" s="374"/>
      <c r="E24" s="374">
        <v>10047</v>
      </c>
      <c r="F24" s="555" t="str">
        <f ca="1">_xll.PALO.DATAC("jedoxtest/EU_PM_CUBE02","#_Staatengruppen_und_NUTS","Langbezeichnung",$E24)</f>
        <v>Tunisia</v>
      </c>
      <c r="G24" s="378" t="s">
        <v>184</v>
      </c>
      <c r="H24" s="379">
        <f ca="1">_xll.PALO.DATAC("jedoxtest/EU_PM_CUBE02","EUPM_Mittel2_Cube",$D$3,"Alle Beteiligungen","Alle Koordinatoren","Alle Unternehmensgrößen","-2","Alle Organisationstypen",28,"Alle Expertevaluierungsstatus","-2","-2",$E24,"-2","Alle","-2",H$4)</f>
        <v>98</v>
      </c>
      <c r="I24" s="379">
        <f ca="1">_xll.PALO.DATAC("jedoxtest/EU_PM_CUBE02","EUPM_Mittel2_Cube",$D$3,"Alle Beteiligungen","Alle Koordinatoren","Alle Unternehmensgrößen","-2","Alle Organisationstypen",28,"Alle Expertevaluierungsstatus","-2","-2",$E24,"-2","Alle","-2",I$4)</f>
        <v>18053643.780000001</v>
      </c>
      <c r="J24" s="530">
        <f t="shared" ca="1" si="0"/>
        <v>7.1324080610767027E-4</v>
      </c>
      <c r="K24" s="531">
        <f t="shared" ca="1" si="1"/>
        <v>3.0968931500951786E-4</v>
      </c>
      <c r="L24">
        <f ca="1">_xll.PALO.DATAC("jedoxtest/EU_PM_CUBE02","EUPM_Mittel2_Cube",$D$3,"Alle Beteiligungen","Alle Koordinatoren","Alle Unternehmensgrößen","-2","Alle Organisationstypen",28,"Alle Expertevaluierungsstatus","-2","-2",$E24,"-2","Alle","-2",L$4)</f>
        <v>5</v>
      </c>
      <c r="M24" s="377">
        <f ca="1">_xll.PALO.DATAC("jedoxtest/EU_PM_CUBE02","EUPM_Mittel2_Cube",$D$3,"Alle Beteiligungen","Alle Koordinatoren","Alle Unternehmensgrößen","-2","Alle Organisationstypen",28,"Alle Expertevaluierungsstatus","-2","-2",$E24,"-2","Alle","-2",M$4)</f>
        <v>98</v>
      </c>
      <c r="N24" s="377">
        <f ca="1">_xll.PALO.DATAC("jedoxtest/EU_PM_CUBE02","EUPM_Mittel2_Cube",$D$3,"Alle Beteiligungen","Alle Koordinatoren","Alle Unternehmensgrößen","-2","Alle Organisationstypen",28,"Alle Expertevaluierungsstatus","-2","-2",$E24,"-2","Alle","-2",N$4)</f>
        <v>18053643.780000001</v>
      </c>
      <c r="O24" s="377">
        <f ca="1">_xll.PALO.DATAC("jedoxtest/EU_PM_CUBE02","EUPM_Mittel2_Cube",$D$3,"Alle Beteiligungen","Alle Koordinatoren","Alle Unternehmensgrößen","-2","Alle Organisationstypen",28,"Alle Expertevaluierungsstatus","-2","-2",$E24,"-2","Alle","-2",O$4)</f>
        <v>5</v>
      </c>
      <c r="P24" s="530">
        <f t="shared" ca="1" si="2"/>
        <v>7.1324080610767027E-4</v>
      </c>
      <c r="Q24" s="530">
        <f t="shared" ca="1" si="3"/>
        <v>3.0968931500951786E-4</v>
      </c>
      <c r="R24" s="530">
        <f t="shared" ca="1" si="4"/>
        <v>2.1393119972616805E-4</v>
      </c>
    </row>
    <row r="25" spans="1:18">
      <c r="A25" s="522"/>
      <c r="B25" s="374"/>
      <c r="D25" s="374"/>
      <c r="E25" s="374">
        <v>10005</v>
      </c>
      <c r="F25" s="555" t="str">
        <f ca="1">_xll.PALO.DATAC("jedoxtest/EU_PM_CUBE02","#_Staatengruppen_und_NUTS","Langbezeichnung",$E25)</f>
        <v>Bosnia and Herzegovina</v>
      </c>
      <c r="G25" s="378" t="s">
        <v>184</v>
      </c>
      <c r="H25" s="379">
        <f ca="1">_xll.PALO.DATAC("jedoxtest/EU_PM_CUBE02","EUPM_Mittel2_Cube",$D$3,"Alle Beteiligungen","Alle Koordinatoren","Alle Unternehmensgrößen","-2","Alle Organisationstypen",28,"Alle Expertevaluierungsstatus","-2","-2",$E25,"-2","Alle","-2",H$4)</f>
        <v>93</v>
      </c>
      <c r="I25" s="379">
        <f ca="1">_xll.PALO.DATAC("jedoxtest/EU_PM_CUBE02","EUPM_Mittel2_Cube",$D$3,"Alle Beteiligungen","Alle Koordinatoren","Alle Unternehmensgrößen","-2","Alle Organisationstypen",28,"Alle Expertevaluierungsstatus","-2","-2",$E25,"-2","Alle","-2",I$4)</f>
        <v>14601617.76</v>
      </c>
      <c r="J25" s="530">
        <f t="shared" ca="1" si="0"/>
        <v>6.7685096906136056E-4</v>
      </c>
      <c r="K25" s="531">
        <f t="shared" ca="1" si="1"/>
        <v>2.5047381333261304E-4</v>
      </c>
      <c r="L25">
        <f ca="1">_xll.PALO.DATAC("jedoxtest/EU_PM_CUBE02","EUPM_Mittel2_Cube",$D$3,"Alle Beteiligungen","Alle Koordinatoren","Alle Unternehmensgrößen","-2","Alle Organisationstypen",28,"Alle Expertevaluierungsstatus","-2","-2",$E25,"-2","Alle","-2",L$4)</f>
        <v>7</v>
      </c>
      <c r="M25" s="377">
        <f ca="1">_xll.PALO.DATAC("jedoxtest/EU_PM_CUBE02","EUPM_Mittel2_Cube",$D$3,"Alle Beteiligungen","Alle Koordinatoren","Alle Unternehmensgrößen","-2","Alle Organisationstypen",28,"Alle Expertevaluierungsstatus","-2","-2",$E25,"-2","Alle","-2",M$4)</f>
        <v>93</v>
      </c>
      <c r="N25" s="377">
        <f ca="1">_xll.PALO.DATAC("jedoxtest/EU_PM_CUBE02","EUPM_Mittel2_Cube",$D$3,"Alle Beteiligungen","Alle Koordinatoren","Alle Unternehmensgrößen","-2","Alle Organisationstypen",28,"Alle Expertevaluierungsstatus","-2","-2",$E25,"-2","Alle","-2",N$4)</f>
        <v>14601617.76</v>
      </c>
      <c r="O25" s="377">
        <f ca="1">_xll.PALO.DATAC("jedoxtest/EU_PM_CUBE02","EUPM_Mittel2_Cube",$D$3,"Alle Beteiligungen","Alle Koordinatoren","Alle Unternehmensgrößen","-2","Alle Organisationstypen",28,"Alle Expertevaluierungsstatus","-2","-2",$E25,"-2","Alle","-2",O$4)</f>
        <v>7</v>
      </c>
      <c r="P25" s="530">
        <f t="shared" ca="1" si="2"/>
        <v>6.7685096906136056E-4</v>
      </c>
      <c r="Q25" s="530">
        <f t="shared" ca="1" si="3"/>
        <v>2.5047381333261304E-4</v>
      </c>
      <c r="R25" s="530">
        <f t="shared" ca="1" si="4"/>
        <v>2.9950367961663528E-4</v>
      </c>
    </row>
    <row r="26" spans="1:18">
      <c r="A26" s="522"/>
      <c r="B26" s="374"/>
      <c r="C26" s="374"/>
      <c r="D26" s="374"/>
      <c r="E26" s="374">
        <v>10163</v>
      </c>
      <c r="F26" s="555" t="str">
        <f ca="1">_xll.PALO.DATAC("jedoxtest/EU_PM_CUBE02","#_Staatengruppen_und_NUTS","Langbezeichnung",$E26)</f>
        <v>Georgia</v>
      </c>
      <c r="G26" s="378" t="s">
        <v>184</v>
      </c>
      <c r="H26" s="379">
        <f ca="1">_xll.PALO.DATAC("jedoxtest/EU_PM_CUBE02","EUPM_Mittel2_Cube",$D$3,"Alle Beteiligungen","Alle Koordinatoren","Alle Unternehmensgrößen","-2","Alle Organisationstypen",28,"Alle Expertevaluierungsstatus","-2","-2",$E26,"-2","Alle","-2",H$4)</f>
        <v>91</v>
      </c>
      <c r="I26" s="379">
        <f ca="1">_xll.PALO.DATAC("jedoxtest/EU_PM_CUBE02","EUPM_Mittel2_Cube",$D$3,"Alle Beteiligungen","Alle Koordinatoren","Alle Unternehmensgrößen","-2","Alle Organisationstypen",28,"Alle Expertevaluierungsstatus","-2","-2",$E26,"-2","Alle","-2",I$4)</f>
        <v>9348763.0899999999</v>
      </c>
      <c r="J26" s="530">
        <f t="shared" ca="1" si="0"/>
        <v>6.6229503424283668E-4</v>
      </c>
      <c r="K26" s="531">
        <f t="shared" ca="1" si="1"/>
        <v>1.6036718530669733E-4</v>
      </c>
      <c r="L26">
        <f ca="1">_xll.PALO.DATAC("jedoxtest/EU_PM_CUBE02","EUPM_Mittel2_Cube",$D$3,"Alle Beteiligungen","Alle Koordinatoren","Alle Unternehmensgrößen","-2","Alle Organisationstypen",28,"Alle Expertevaluierungsstatus","-2","-2",$E26,"-2","Alle","-2",L$4)</f>
        <v>3</v>
      </c>
      <c r="M26" s="377">
        <f ca="1">_xll.PALO.DATAC("jedoxtest/EU_PM_CUBE02","EUPM_Mittel2_Cube",$D$3,"Alle Beteiligungen","Alle Koordinatoren","Alle Unternehmensgrößen","-2","Alle Organisationstypen",28,"Alle Expertevaluierungsstatus","-2","-2",$E26,"-2","Alle","-2",M$4)</f>
        <v>91</v>
      </c>
      <c r="N26" s="377">
        <f ca="1">_xll.PALO.DATAC("jedoxtest/EU_PM_CUBE02","EUPM_Mittel2_Cube",$D$3,"Alle Beteiligungen","Alle Koordinatoren","Alle Unternehmensgrößen","-2","Alle Organisationstypen",28,"Alle Expertevaluierungsstatus","-2","-2",$E26,"-2","Alle","-2",N$4)</f>
        <v>9348763.0899999999</v>
      </c>
      <c r="O26" s="377">
        <f ca="1">_xll.PALO.DATAC("jedoxtest/EU_PM_CUBE02","EUPM_Mittel2_Cube",$D$3,"Alle Beteiligungen","Alle Koordinatoren","Alle Unternehmensgrößen","-2","Alle Organisationstypen",28,"Alle Expertevaluierungsstatus","-2","-2",$E26,"-2","Alle","-2",O$4)</f>
        <v>3</v>
      </c>
      <c r="P26" s="530">
        <f t="shared" ca="1" si="2"/>
        <v>6.6229503424283668E-4</v>
      </c>
      <c r="Q26" s="530">
        <f t="shared" ca="1" si="3"/>
        <v>1.6036718530669733E-4</v>
      </c>
      <c r="R26" s="530">
        <f t="shared" ca="1" si="4"/>
        <v>1.2835871983570083E-4</v>
      </c>
    </row>
    <row r="27" spans="1:18">
      <c r="A27" s="522"/>
      <c r="B27" s="374"/>
      <c r="C27" s="374"/>
      <c r="D27" s="375"/>
      <c r="E27" s="118">
        <v>10012</v>
      </c>
      <c r="F27" s="556" t="str">
        <f ca="1">_xll.PALO.DATAC("jedoxtest/EU_PM_CUBE02","#_Staatengruppen_und_NUTS","Langbezeichnung",$E27)</f>
        <v>New Zealand</v>
      </c>
      <c r="G27" s="380" t="s">
        <v>184</v>
      </c>
      <c r="H27" s="381">
        <f ca="1">_xll.PALO.DATAC("jedoxtest/EU_PM_CUBE02","EUPM_Mittel2_Cube",$D$3,"Alle Beteiligungen","Alle Koordinatoren","Alle Unternehmensgrößen","-2","Alle Organisationstypen",28,"Alle Expertevaluierungsstatus","-2","-2",$E27,"-2","Alle","-2",H$4)</f>
        <v>88</v>
      </c>
      <c r="I27" s="381">
        <f ca="1">_xll.PALO.DATAC("jedoxtest/EU_PM_CUBE02","EUPM_Mittel2_Cube",$D$3,"Alle Beteiligungen","Alle Koordinatoren","Alle Unternehmensgrößen","-2","Alle Organisationstypen",28,"Alle Expertevaluierungsstatus","-2","-2",$E27,"-2","Alle","-2",I$4)</f>
        <v>13347721.49</v>
      </c>
      <c r="J27" s="530">
        <f t="shared" ca="1" si="0"/>
        <v>6.4046113201505085E-4</v>
      </c>
      <c r="K27" s="531">
        <f t="shared" ca="1" si="1"/>
        <v>2.2896467746611986E-4</v>
      </c>
      <c r="L27">
        <f ca="1">_xll.PALO.DATAC("jedoxtest/EU_PM_CUBE02","EUPM_Mittel2_Cube",$D$3,"Alle Beteiligungen","Alle Koordinatoren","Alle Unternehmensgrößen","-2","Alle Organisationstypen",28,"Alle Expertevaluierungsstatus","-2","-2",$E27,"-2","Alle","-2",L$4)</f>
        <v>0</v>
      </c>
      <c r="M27" s="377">
        <f ca="1">_xll.PALO.DATAC("jedoxtest/EU_PM_CUBE02","EUPM_Mittel2_Cube",$D$3,"Alle Beteiligungen","Alle Koordinatoren","Alle Unternehmensgrößen","-2","Alle Organisationstypen",28,"Alle Expertevaluierungsstatus","-2","-2",$E27,"-2","Alle","-2",M$4)</f>
        <v>88</v>
      </c>
      <c r="N27" s="377">
        <f ca="1">_xll.PALO.DATAC("jedoxtest/EU_PM_CUBE02","EUPM_Mittel2_Cube",$D$3,"Alle Beteiligungen","Alle Koordinatoren","Alle Unternehmensgrößen","-2","Alle Organisationstypen",28,"Alle Expertevaluierungsstatus","-2","-2",$E27,"-2","Alle","-2",N$4)</f>
        <v>13347721.49</v>
      </c>
      <c r="O27" s="377">
        <f ca="1">_xll.PALO.DATAC("jedoxtest/EU_PM_CUBE02","EUPM_Mittel2_Cube",$D$3,"Alle Beteiligungen","Alle Koordinatoren","Alle Unternehmensgrößen","-2","Alle Organisationstypen",28,"Alle Expertevaluierungsstatus","-2","-2",$E27,"-2","Alle","-2",O$4)</f>
        <v>0</v>
      </c>
      <c r="P27" s="530">
        <f t="shared" ca="1" si="2"/>
        <v>6.4046113201505085E-4</v>
      </c>
      <c r="Q27" s="530">
        <f t="shared" ca="1" si="3"/>
        <v>2.2896467746611986E-4</v>
      </c>
      <c r="R27" s="530">
        <f t="shared" ca="1" si="4"/>
        <v>0</v>
      </c>
    </row>
    <row r="28" spans="1:18">
      <c r="A28" s="522"/>
      <c r="B28" s="118"/>
      <c r="C28" s="374"/>
      <c r="D28" s="374"/>
      <c r="E28" s="374">
        <v>10088</v>
      </c>
      <c r="F28" s="555" t="str">
        <f ca="1">_xll.PALO.DATAC("jedoxtest/EU_PM_CUBE02","#_Staatengruppen_und_NUTS","Langbezeichnung",$E28)</f>
        <v>Morocco</v>
      </c>
      <c r="G28" s="378" t="s">
        <v>184</v>
      </c>
      <c r="H28" s="379">
        <f ca="1">_xll.PALO.DATAC("jedoxtest/EU_PM_CUBE02","EUPM_Mittel2_Cube",$D$3,"Alle Beteiligungen","Alle Koordinatoren","Alle Unternehmensgrößen","-2","Alle Organisationstypen",28,"Alle Expertevaluierungsstatus","-2","-2",$E28,"-2","Alle","-2",H$4)</f>
        <v>77</v>
      </c>
      <c r="I28" s="379">
        <f ca="1">_xll.PALO.DATAC("jedoxtest/EU_PM_CUBE02","EUPM_Mittel2_Cube",$D$3,"Alle Beteiligungen","Alle Koordinatoren","Alle Unternehmensgrößen","-2","Alle Organisationstypen",28,"Alle Expertevaluierungsstatus","-2","-2",$E28,"-2","Alle","-2",I$4)</f>
        <v>6117883.8499999996</v>
      </c>
      <c r="J28" s="530">
        <f t="shared" ca="1" si="0"/>
        <v>5.6040349051316948E-4</v>
      </c>
      <c r="K28" s="531">
        <f t="shared" ca="1" si="1"/>
        <v>1.0494520008826118E-4</v>
      </c>
      <c r="L28">
        <f ca="1">_xll.PALO.DATAC("jedoxtest/EU_PM_CUBE02","EUPM_Mittel2_Cube",$D$3,"Alle Beteiligungen","Alle Koordinatoren","Alle Unternehmensgrößen","-2","Alle Organisationstypen",28,"Alle Expertevaluierungsstatus","-2","-2",$E28,"-2","Alle","-2",L$4)</f>
        <v>0</v>
      </c>
      <c r="M28" s="377">
        <f ca="1">_xll.PALO.DATAC("jedoxtest/EU_PM_CUBE02","EUPM_Mittel2_Cube",$D$3,"Alle Beteiligungen","Alle Koordinatoren","Alle Unternehmensgrößen","-2","Alle Organisationstypen",28,"Alle Expertevaluierungsstatus","-2","-2",$E28,"-2","Alle","-2",M$4)</f>
        <v>77</v>
      </c>
      <c r="N28" s="377">
        <f ca="1">_xll.PALO.DATAC("jedoxtest/EU_PM_CUBE02","EUPM_Mittel2_Cube",$D$3,"Alle Beteiligungen","Alle Koordinatoren","Alle Unternehmensgrößen","-2","Alle Organisationstypen",28,"Alle Expertevaluierungsstatus","-2","-2",$E28,"-2","Alle","-2",N$4)</f>
        <v>6117883.8499999996</v>
      </c>
      <c r="O28" s="377">
        <f ca="1">_xll.PALO.DATAC("jedoxtest/EU_PM_CUBE02","EUPM_Mittel2_Cube",$D$3,"Alle Beteiligungen","Alle Koordinatoren","Alle Unternehmensgrößen","-2","Alle Organisationstypen",28,"Alle Expertevaluierungsstatus","-2","-2",$E28,"-2","Alle","-2",O$4)</f>
        <v>0</v>
      </c>
      <c r="P28" s="530">
        <f t="shared" ca="1" si="2"/>
        <v>5.6040349051316948E-4</v>
      </c>
      <c r="Q28" s="530">
        <f t="shared" ca="1" si="3"/>
        <v>1.0494520008826118E-4</v>
      </c>
      <c r="R28" s="530">
        <f t="shared" ca="1" si="4"/>
        <v>0</v>
      </c>
    </row>
    <row r="29" spans="1:18">
      <c r="A29" s="532"/>
      <c r="B29" s="118"/>
      <c r="C29" s="374"/>
      <c r="D29" s="374">
        <v>10004</v>
      </c>
      <c r="E29" s="528">
        <v>2802</v>
      </c>
      <c r="F29" s="555" t="str">
        <f ca="1">_xll.PALO.DATAC("jedoxtest/EU_PM_CUBE02","#_Staatengruppen_und_NUTS","Langbezeichnung",$E29)</f>
        <v>Albania</v>
      </c>
      <c r="G29" s="535" t="s">
        <v>184</v>
      </c>
      <c r="H29" s="379">
        <f ca="1">_xll.PALO.DATAC("jedoxtest/EU_PM_CUBE02","EUPM_Mittel2_Cube",$D$3,"Alle Beteiligungen","Alle Koordinatoren","Alle Unternehmensgrößen","-2","Alle Organisationstypen",28,"Alle Expertevaluierungsstatus","-2","-2",$E29,"-2","Alle","-2",H$4)</f>
        <v>71</v>
      </c>
      <c r="I29" s="379">
        <f ca="1">_xll.PALO.DATAC("jedoxtest/EU_PM_CUBE02","EUPM_Mittel2_Cube",$D$3,"Alle Beteiligungen","Alle Koordinatoren","Alle Unternehmensgrößen","-2","Alle Organisationstypen",28,"Alle Expertevaluierungsstatus","-2","-2",$E29,"-2","Alle","-2",I$4)</f>
        <v>8199097.5599999996</v>
      </c>
      <c r="J29" s="530">
        <f t="shared" ca="1" si="0"/>
        <v>5.1673568605759782E-4</v>
      </c>
      <c r="K29" s="531">
        <f t="shared" ca="1" si="1"/>
        <v>1.4064600686679822E-4</v>
      </c>
      <c r="L29">
        <f ca="1">_xll.PALO.DATAC("jedoxtest/EU_PM_CUBE02","EUPM_Mittel2_Cube",$D$3,"Alle Beteiligungen","Alle Koordinatoren","Alle Unternehmensgrößen","-2","Alle Organisationstypen",28,"Alle Expertevaluierungsstatus","-2","-2",$E29,"-2","Alle","-2",L$4)</f>
        <v>2</v>
      </c>
      <c r="M29" s="377">
        <f ca="1">_xll.PALO.DATAC("jedoxtest/EU_PM_CUBE02","EUPM_Mittel2_Cube",$D$3,"Alle Beteiligungen","Alle Koordinatoren","Alle Unternehmensgrößen","-2","Alle Organisationstypen",28,"Alle Expertevaluierungsstatus","-2","-2",$E29,"-2","Alle","-2",M$4)</f>
        <v>71</v>
      </c>
      <c r="N29" s="377">
        <f ca="1">_xll.PALO.DATAC("jedoxtest/EU_PM_CUBE02","EUPM_Mittel2_Cube",$D$3,"Alle Beteiligungen","Alle Koordinatoren","Alle Unternehmensgrößen","-2","Alle Organisationstypen",28,"Alle Expertevaluierungsstatus","-2","-2",$E29,"-2","Alle","-2",N$4)</f>
        <v>8199097.5599999996</v>
      </c>
      <c r="O29" s="377">
        <f ca="1">_xll.PALO.DATAC("jedoxtest/EU_PM_CUBE02","EUPM_Mittel2_Cube",$D$3,"Alle Beteiligungen","Alle Koordinatoren","Alle Unternehmensgrößen","-2","Alle Organisationstypen",28,"Alle Expertevaluierungsstatus","-2","-2",$E29,"-2","Alle","-2",O$4)</f>
        <v>2</v>
      </c>
      <c r="P29" s="530">
        <f t="shared" ca="1" si="2"/>
        <v>5.1673568605759782E-4</v>
      </c>
      <c r="Q29" s="530">
        <f t="shared" ca="1" si="3"/>
        <v>1.4064600686679822E-4</v>
      </c>
      <c r="R29" s="530">
        <f t="shared" ca="1" si="4"/>
        <v>8.5572479890467222E-5</v>
      </c>
    </row>
    <row r="30" spans="1:18">
      <c r="A30" s="662"/>
      <c r="B30" s="118"/>
      <c r="C30" s="374"/>
      <c r="D30" s="375"/>
      <c r="E30" s="678">
        <v>10125</v>
      </c>
      <c r="F30" s="555" t="str">
        <f ca="1">_xll.PALO.DATAC("jedoxtest/EU_PM_CUBE02","#_Staatengruppen_und_NUTS","Langbezeichnung",$E30)</f>
        <v>Egypt</v>
      </c>
      <c r="G30" s="535"/>
      <c r="H30" s="379">
        <f ca="1">_xll.PALO.DATAC("jedoxtest/EU_PM_CUBE02","EUPM_Mittel2_Cube",$D$3,"Alle Beteiligungen","Alle Koordinatoren","Alle Unternehmensgrößen","-2","Alle Organisationstypen",28,"Alle Expertevaluierungsstatus","-2","-2",$E30,"-2","Alle","-2",H$4)</f>
        <v>59</v>
      </c>
      <c r="I30" s="379">
        <f ca="1">_xll.PALO.DATAC("jedoxtest/EU_PM_CUBE02","EUPM_Mittel2_Cube",$D$3,"Alle Beteiligungen","Alle Koordinatoren","Alle Unternehmensgrößen","-2","Alle Organisationstypen",28,"Alle Expertevaluierungsstatus","-2","-2",$E30,"-2","Alle","-2",I$4)</f>
        <v>7144062.1299999999</v>
      </c>
      <c r="J30" s="530">
        <f t="shared" ca="1" si="0"/>
        <v>4.2940007714645456E-4</v>
      </c>
      <c r="K30" s="531">
        <f t="shared" ca="1" si="1"/>
        <v>1.2254809801199795E-4</v>
      </c>
      <c r="L30">
        <f ca="1">_xll.PALO.DATAC("jedoxtest/EU_PM_CUBE02","EUPM_Mittel2_Cube",$D$3,"Alle Beteiligungen","Alle Koordinatoren","Alle Unternehmensgrößen","-2","Alle Organisationstypen",28,"Alle Expertevaluierungsstatus","-2","-2",$E30,"-2","Alle","-2",L$4)</f>
        <v>0</v>
      </c>
      <c r="M30" s="377">
        <f ca="1">_xll.PALO.DATAC("jedoxtest/EU_PM_CUBE02","EUPM_Mittel2_Cube",$D$3,"Alle Beteiligungen","Alle Koordinatoren","Alle Unternehmensgrößen","-2","Alle Organisationstypen",28,"Alle Expertevaluierungsstatus","-2","-2",$E30,"-2","Alle","-2",M$4)</f>
        <v>59</v>
      </c>
      <c r="N30" s="377">
        <f ca="1">_xll.PALO.DATAC("jedoxtest/EU_PM_CUBE02","EUPM_Mittel2_Cube",$D$3,"Alle Beteiligungen","Alle Koordinatoren","Alle Unternehmensgrößen","-2","Alle Organisationstypen",28,"Alle Expertevaluierungsstatus","-2","-2",$E30,"-2","Alle","-2",N$4)</f>
        <v>7144062.1299999999</v>
      </c>
      <c r="O30" s="377">
        <f ca="1">_xll.PALO.DATAC("jedoxtest/EU_PM_CUBE02","EUPM_Mittel2_Cube",$D$3,"Alle Beteiligungen","Alle Koordinatoren","Alle Unternehmensgrößen","-2","Alle Organisationstypen",28,"Alle Expertevaluierungsstatus","-2","-2",$E30,"-2","Alle","-2",O$4)</f>
        <v>0</v>
      </c>
      <c r="P30" s="530">
        <f t="shared" ca="1" si="2"/>
        <v>4.2940007714645456E-4</v>
      </c>
      <c r="Q30" s="530">
        <f t="shared" ca="1" si="3"/>
        <v>1.2254809801199795E-4</v>
      </c>
      <c r="R30" s="530">
        <f t="shared" ca="1" si="4"/>
        <v>0</v>
      </c>
    </row>
    <row r="31" spans="1:18">
      <c r="A31" s="677"/>
      <c r="B31" s="118"/>
      <c r="C31" s="374"/>
      <c r="D31" s="374">
        <v>10002</v>
      </c>
      <c r="E31" s="529">
        <v>2854</v>
      </c>
      <c r="F31" s="555" t="str">
        <f ca="1">_xll.PALO.DATAC("jedoxtest/EU_PM_CUBE02","#_Staatengruppen_und_NUTS","Langbezeichnung",$E31)</f>
        <v>Montenegro</v>
      </c>
      <c r="G31" s="535" t="s">
        <v>184</v>
      </c>
      <c r="H31" s="379">
        <f ca="1">_xll.PALO.DATAC("jedoxtest/EU_PM_CUBE02","EUPM_Mittel2_Cube",$D$3,"Alle Beteiligungen","Alle Koordinatoren","Alle Unternehmensgrößen","-2","Alle Organisationstypen",28,"Alle Expertevaluierungsstatus","-2","-2",$E31,"-2","Alle","-2",H$4)</f>
        <v>49</v>
      </c>
      <c r="I31" s="379">
        <f ca="1">_xll.PALO.DATAC("jedoxtest/EU_PM_CUBE02","EUPM_Mittel2_Cube",$D$3,"Alle Beteiligungen","Alle Koordinatoren","Alle Unternehmensgrößen","-2","Alle Organisationstypen",28,"Alle Expertevaluierungsstatus","-2","-2",$E31,"-2","Alle","-2",I$4)</f>
        <v>5946085.0099999998</v>
      </c>
      <c r="J31" s="530">
        <f t="shared" ca="1" si="0"/>
        <v>3.5662040305383514E-4</v>
      </c>
      <c r="K31" s="531">
        <f t="shared" ca="1" si="1"/>
        <v>1.0199819029193574E-4</v>
      </c>
      <c r="L31">
        <f ca="1">_xll.PALO.DATAC("jedoxtest/EU_PM_CUBE02","EUPM_Mittel2_Cube",$D$3,"Alle Beteiligungen","Alle Koordinatoren","Alle Unternehmensgrößen","-2","Alle Organisationstypen",28,"Alle Expertevaluierungsstatus","-2","-2",$E31,"-2","Alle","-2",L$4)</f>
        <v>3</v>
      </c>
      <c r="M31" s="377">
        <f ca="1">_xll.PALO.DATAC("jedoxtest/EU_PM_CUBE02","EUPM_Mittel2_Cube",$D$3,"Alle Beteiligungen","Alle Koordinatoren","Alle Unternehmensgrößen","-2","Alle Organisationstypen",28,"Alle Expertevaluierungsstatus","-2","-2",$E31,"-2","Alle","-2",M$4)</f>
        <v>49</v>
      </c>
      <c r="N31" s="377">
        <f ca="1">_xll.PALO.DATAC("jedoxtest/EU_PM_CUBE02","EUPM_Mittel2_Cube",$D$3,"Alle Beteiligungen","Alle Koordinatoren","Alle Unternehmensgrößen","-2","Alle Organisationstypen",28,"Alle Expertevaluierungsstatus","-2","-2",$E31,"-2","Alle","-2",N$4)</f>
        <v>5946085.0099999998</v>
      </c>
      <c r="O31" s="377">
        <f ca="1">_xll.PALO.DATAC("jedoxtest/EU_PM_CUBE02","EUPM_Mittel2_Cube",$D$3,"Alle Beteiligungen","Alle Koordinatoren","Alle Unternehmensgrößen","-2","Alle Organisationstypen",28,"Alle Expertevaluierungsstatus","-2","-2",$E31,"-2","Alle","-2",O$4)</f>
        <v>3</v>
      </c>
      <c r="P31" s="530">
        <f t="shared" ca="1" si="2"/>
        <v>3.5662040305383514E-4</v>
      </c>
      <c r="Q31" s="530">
        <f t="shared" ca="1" si="3"/>
        <v>1.0199819029193574E-4</v>
      </c>
      <c r="R31" s="530">
        <f t="shared" ca="1" si="4"/>
        <v>1.2835871983570083E-4</v>
      </c>
    </row>
    <row r="32" spans="1:18">
      <c r="A32" s="662"/>
      <c r="B32" s="118"/>
      <c r="C32" s="374"/>
      <c r="D32" s="375"/>
      <c r="E32" s="374">
        <v>10186</v>
      </c>
      <c r="F32" s="555" t="str">
        <f ca="1">_xll.PALO.DATAC("jedoxtest/EU_PM_CUBE02","#_Staatengruppen_und_NUTS","Langbezeichnung",$E32)</f>
        <v>Armenia</v>
      </c>
      <c r="G32" s="535" t="s">
        <v>184</v>
      </c>
      <c r="H32" s="379">
        <f ca="1">_xll.PALO.DATAC("jedoxtest/EU_PM_CUBE02","EUPM_Mittel2_Cube",$D$3,"Alle Beteiligungen","Alle Koordinatoren","Alle Unternehmensgrößen","-2","Alle Organisationstypen",28,"Alle Expertevaluierungsstatus","-2","-2",$E32,"-2","Alle","-2",H$4)</f>
        <v>40</v>
      </c>
      <c r="I32" s="379">
        <f ca="1">_xll.PALO.DATAC("jedoxtest/EU_PM_CUBE02","EUPM_Mittel2_Cube",$D$3,"Alle Beteiligungen","Alle Koordinatoren","Alle Unternehmensgrößen","-2","Alle Organisationstypen",28,"Alle Expertevaluierungsstatus","-2","-2",$E32,"-2","Alle","-2",I$4)</f>
        <v>9509485.3699999992</v>
      </c>
      <c r="J32" s="530">
        <f t="shared" ca="1" si="0"/>
        <v>2.9111869637047765E-4</v>
      </c>
      <c r="K32" s="531">
        <f t="shared" ca="1" si="1"/>
        <v>1.631241895661426E-4</v>
      </c>
      <c r="L32">
        <f ca="1">_xll.PALO.DATAC("jedoxtest/EU_PM_CUBE02","EUPM_Mittel2_Cube",$D$3,"Alle Beteiligungen","Alle Koordinatoren","Alle Unternehmensgrößen","-2","Alle Organisationstypen",28,"Alle Expertevaluierungsstatus","-2","-2",$E32,"-2","Alle","-2",L$4)</f>
        <v>5</v>
      </c>
      <c r="M32" s="377">
        <f ca="1">_xll.PALO.DATAC("jedoxtest/EU_PM_CUBE02","EUPM_Mittel2_Cube",$D$3,"Alle Beteiligungen","Alle Koordinatoren","Alle Unternehmensgrößen","-2","Alle Organisationstypen",28,"Alle Expertevaluierungsstatus","-2","-2",$E32,"-2","Alle","-2",M$4)</f>
        <v>40</v>
      </c>
      <c r="N32" s="377">
        <f ca="1">_xll.PALO.DATAC("jedoxtest/EU_PM_CUBE02","EUPM_Mittel2_Cube",$D$3,"Alle Beteiligungen","Alle Koordinatoren","Alle Unternehmensgrößen","-2","Alle Organisationstypen",28,"Alle Expertevaluierungsstatus","-2","-2",$E32,"-2","Alle","-2",N$4)</f>
        <v>9509485.3699999992</v>
      </c>
      <c r="O32" s="377">
        <f ca="1">_xll.PALO.DATAC("jedoxtest/EU_PM_CUBE02","EUPM_Mittel2_Cube",$D$3,"Alle Beteiligungen","Alle Koordinatoren","Alle Unternehmensgrößen","-2","Alle Organisationstypen",28,"Alle Expertevaluierungsstatus","-2","-2",$E32,"-2","Alle","-2",O$4)</f>
        <v>5</v>
      </c>
      <c r="P32" s="530">
        <f t="shared" ca="1" si="2"/>
        <v>2.9111869637047765E-4</v>
      </c>
      <c r="Q32" s="530">
        <f t="shared" ca="1" si="3"/>
        <v>1.631241895661426E-4</v>
      </c>
      <c r="R32" s="530">
        <f t="shared" ca="1" si="4"/>
        <v>2.1393119972616805E-4</v>
      </c>
    </row>
    <row r="33" spans="1:236">
      <c r="A33" s="691"/>
      <c r="B33" s="118"/>
      <c r="C33" s="374"/>
      <c r="D33" s="375"/>
      <c r="E33" s="374">
        <v>10006</v>
      </c>
      <c r="F33" s="555" t="str">
        <f ca="1">_xll.PALO.DATAC("jedoxtest/EU_PM_CUBE02","#_Staatengruppen_und_NUTS","Langbezeichnung",$E33)</f>
        <v>Faroe Islands</v>
      </c>
      <c r="G33" s="535" t="s">
        <v>184</v>
      </c>
      <c r="H33" s="379">
        <f ca="1">_xll.PALO.DATAC("jedoxtest/EU_PM_CUBE02","EUPM_Mittel2_Cube",$D$3,"Alle Beteiligungen","Alle Koordinatoren","Alle Unternehmensgrößen","-2","Alle Organisationstypen",28,"Alle Expertevaluierungsstatus","-2","-2",$E33,"-2","Alle","-2",H$4)</f>
        <v>36</v>
      </c>
      <c r="I33" s="379">
        <f ca="1">_xll.PALO.DATAC("jedoxtest/EU_PM_CUBE02","EUPM_Mittel2_Cube",$D$3,"Alle Beteiligungen","Alle Koordinatoren","Alle Unternehmensgrößen","-2","Alle Organisationstypen",28,"Alle Expertevaluierungsstatus","-2","-2",$E33,"-2","Alle","-2",I$4)</f>
        <v>9159956.6799999997</v>
      </c>
      <c r="J33" s="530">
        <f t="shared" ca="1" si="0"/>
        <v>2.6200682673342988E-4</v>
      </c>
      <c r="K33" s="531">
        <f t="shared" ca="1" si="1"/>
        <v>1.5712843037750783E-4</v>
      </c>
      <c r="L33">
        <f ca="1">_xll.PALO.DATAC("jedoxtest/EU_PM_CUBE02","EUPM_Mittel2_Cube",$D$3,"Alle Beteiligungen","Alle Koordinatoren","Alle Unternehmensgrößen","-2","Alle Organisationstypen",28,"Alle Expertevaluierungsstatus","-2","-2",$E33,"-2","Alle","-2",L$4)</f>
        <v>2</v>
      </c>
      <c r="M33" s="377">
        <f ca="1">_xll.PALO.DATAC("jedoxtest/EU_PM_CUBE02","EUPM_Mittel2_Cube",$D$3,"Alle Beteiligungen","Alle Koordinatoren","Alle Unternehmensgrößen","-2","Alle Organisationstypen",28,"Alle Expertevaluierungsstatus","-2","-2",$E33,"-2","Alle","-2",M$4)</f>
        <v>36</v>
      </c>
      <c r="N33" s="377">
        <f ca="1">_xll.PALO.DATAC("jedoxtest/EU_PM_CUBE02","EUPM_Mittel2_Cube",$D$3,"Alle Beteiligungen","Alle Koordinatoren","Alle Unternehmensgrößen","-2","Alle Organisationstypen",28,"Alle Expertevaluierungsstatus","-2","-2",$E33,"-2","Alle","-2",N$4)</f>
        <v>9159956.6799999997</v>
      </c>
      <c r="O33" s="377">
        <f ca="1">_xll.PALO.DATAC("jedoxtest/EU_PM_CUBE02","EUPM_Mittel2_Cube",$D$3,"Alle Beteiligungen","Alle Koordinatoren","Alle Unternehmensgrößen","-2","Alle Organisationstypen",28,"Alle Expertevaluierungsstatus","-2","-2",$E33,"-2","Alle","-2",O$4)</f>
        <v>2</v>
      </c>
      <c r="P33" s="530">
        <f t="shared" ca="1" si="2"/>
        <v>2.6200682673342988E-4</v>
      </c>
      <c r="Q33" s="530">
        <f t="shared" ca="1" si="3"/>
        <v>1.5712843037750783E-4</v>
      </c>
      <c r="R33" s="530">
        <f t="shared" ca="1" si="4"/>
        <v>8.5572479890467222E-5</v>
      </c>
    </row>
    <row r="34" spans="1:236">
      <c r="A34" s="685"/>
      <c r="B34" s="118"/>
      <c r="C34" s="374"/>
      <c r="D34" s="375"/>
      <c r="E34" s="118">
        <v>10078</v>
      </c>
      <c r="F34" s="555" t="str">
        <f ca="1">_xll.PALO.DATAC("jedoxtest/EU_PM_CUBE02","#_Staatengruppen_und_NUTS","Langbezeichnung",$E34)</f>
        <v>Kosovo * UN resolution</v>
      </c>
      <c r="G34" s="535"/>
      <c r="H34" s="379">
        <f ca="1">_xll.PALO.DATAC("jedoxtest/EU_PM_CUBE02","EUPM_Mittel2_Cube",$D$3,"Alle Beteiligungen","Alle Koordinatoren","Alle Unternehmensgrößen","-2","Alle Organisationstypen",28,"Alle Expertevaluierungsstatus","-2","-2",$E34,"-2","Alle","-2",H$4)</f>
        <v>20</v>
      </c>
      <c r="I34" s="379">
        <f ca="1">_xll.PALO.DATAC("jedoxtest/EU_PM_CUBE02","EUPM_Mittel2_Cube",$D$3,"Alle Beteiligungen","Alle Koordinatoren","Alle Unternehmensgrößen","-2","Alle Organisationstypen",28,"Alle Expertevaluierungsstatus","-2","-2",$E34,"-2","Alle","-2",I$4)</f>
        <v>1859590</v>
      </c>
      <c r="J34" s="530">
        <f t="shared" ca="1" si="0"/>
        <v>1.4555934818523883E-4</v>
      </c>
      <c r="K34" s="531">
        <f t="shared" ca="1" si="1"/>
        <v>3.1899109139204992E-5</v>
      </c>
      <c r="L34">
        <f ca="1">_xll.PALO.DATAC("jedoxtest/EU_PM_CUBE02","EUPM_Mittel2_Cube",$D$3,"Alle Beteiligungen","Alle Koordinatoren","Alle Unternehmensgrößen","-2","Alle Organisationstypen",28,"Alle Expertevaluierungsstatus","-2","-2",$E34,"-2","Alle","-2",L$4)</f>
        <v>0</v>
      </c>
      <c r="M34" s="377">
        <f ca="1">_xll.PALO.DATAC("jedoxtest/EU_PM_CUBE02","EUPM_Mittel2_Cube",$D$3,"Alle Beteiligungen","Alle Koordinatoren","Alle Unternehmensgrößen","-2","Alle Organisationstypen",28,"Alle Expertevaluierungsstatus","-2","-2",$E34,"-2","Alle","-2",M$4)</f>
        <v>20</v>
      </c>
      <c r="N34" s="377">
        <f ca="1">_xll.PALO.DATAC("jedoxtest/EU_PM_CUBE02","EUPM_Mittel2_Cube",$D$3,"Alle Beteiligungen","Alle Koordinatoren","Alle Unternehmensgrößen","-2","Alle Organisationstypen",28,"Alle Expertevaluierungsstatus","-2","-2",$E34,"-2","Alle","-2",N$4)</f>
        <v>1859590</v>
      </c>
      <c r="O34" s="377">
        <f ca="1">_xll.PALO.DATAC("jedoxtest/EU_PM_CUBE02","EUPM_Mittel2_Cube",$D$3,"Alle Beteiligungen","Alle Koordinatoren","Alle Unternehmensgrößen","-2","Alle Organisationstypen",28,"Alle Expertevaluierungsstatus","-2","-2",$E34,"-2","Alle","-2",O$4)</f>
        <v>0</v>
      </c>
      <c r="P34" s="530">
        <f t="shared" ca="1" si="2"/>
        <v>1.4555934818523883E-4</v>
      </c>
      <c r="Q34" s="530">
        <f t="shared" ca="1" si="3"/>
        <v>3.1899109139204992E-5</v>
      </c>
      <c r="R34" s="530">
        <f t="shared" ca="1" si="4"/>
        <v>0</v>
      </c>
    </row>
    <row r="35" spans="1:236">
      <c r="A35" s="522"/>
      <c r="B35" s="522"/>
      <c r="C35" s="374"/>
      <c r="D35" s="375"/>
      <c r="E35" s="522"/>
      <c r="F35" s="357"/>
      <c r="G35" s="383"/>
      <c r="H35" s="118"/>
      <c r="I35" s="118"/>
      <c r="J35" s="118"/>
      <c r="K35" s="118"/>
      <c r="L35"/>
      <c r="M35"/>
    </row>
    <row r="36" spans="1:236" s="385" customFormat="1" ht="27.75" customHeight="1">
      <c r="A36" s="40"/>
      <c r="B36" s="40"/>
      <c r="C36" s="40"/>
      <c r="D36" s="40"/>
      <c r="E36" s="40"/>
      <c r="F36" s="752" t="s">
        <v>188</v>
      </c>
      <c r="G36" s="752"/>
      <c r="H36" s="752"/>
      <c r="I36" s="752"/>
      <c r="J36" s="752"/>
      <c r="K36" s="752"/>
      <c r="L36" s="752"/>
      <c r="M36" s="752"/>
      <c r="N36" s="752"/>
      <c r="O36" s="752"/>
      <c r="P36" s="752"/>
      <c r="Q36" s="752"/>
      <c r="R36" s="752"/>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4"/>
      <c r="BG36" s="384"/>
      <c r="BH36" s="384"/>
      <c r="BI36" s="384"/>
      <c r="BJ36" s="384"/>
      <c r="BK36" s="384"/>
      <c r="BL36" s="384"/>
      <c r="BM36" s="384"/>
      <c r="BN36" s="384"/>
      <c r="BO36" s="384"/>
      <c r="BP36" s="384"/>
      <c r="BQ36" s="384"/>
      <c r="BR36" s="384"/>
      <c r="BS36" s="384"/>
      <c r="BT36" s="384"/>
      <c r="BU36" s="384"/>
      <c r="BV36" s="384"/>
      <c r="BW36" s="384"/>
      <c r="BX36" s="384"/>
      <c r="BY36" s="384"/>
      <c r="BZ36" s="384"/>
      <c r="CA36" s="384"/>
      <c r="CB36" s="384"/>
      <c r="CC36" s="384"/>
      <c r="CD36" s="384"/>
      <c r="CE36" s="384"/>
      <c r="CF36" s="384"/>
      <c r="CG36" s="384"/>
      <c r="CH36" s="384"/>
      <c r="CI36" s="384"/>
      <c r="CJ36" s="384"/>
      <c r="CK36" s="384"/>
      <c r="CL36" s="384"/>
      <c r="CM36" s="384"/>
      <c r="CN36" s="384"/>
      <c r="CO36" s="384"/>
      <c r="CP36" s="384"/>
      <c r="CQ36" s="384"/>
      <c r="CR36" s="384"/>
      <c r="CS36" s="384"/>
      <c r="CT36" s="384"/>
      <c r="CU36" s="384"/>
      <c r="CV36" s="384"/>
      <c r="CW36" s="384"/>
      <c r="CX36" s="384"/>
      <c r="CY36" s="384"/>
      <c r="CZ36" s="384"/>
      <c r="DA36" s="384"/>
      <c r="DB36" s="384"/>
      <c r="DC36" s="384"/>
      <c r="DD36" s="384"/>
      <c r="DE36" s="384"/>
      <c r="DF36" s="384"/>
      <c r="DG36" s="384"/>
      <c r="DH36" s="384"/>
      <c r="DI36" s="384"/>
      <c r="DJ36" s="384"/>
      <c r="DK36" s="384"/>
      <c r="DL36" s="384"/>
      <c r="DM36" s="384"/>
      <c r="DN36" s="384"/>
      <c r="DO36" s="384"/>
      <c r="DP36" s="384"/>
      <c r="DQ36" s="384"/>
      <c r="DR36" s="384"/>
      <c r="DS36" s="384"/>
      <c r="DT36" s="384"/>
      <c r="DU36" s="384"/>
      <c r="DV36" s="384"/>
      <c r="DW36" s="384"/>
      <c r="DX36" s="384"/>
      <c r="DY36" s="384"/>
      <c r="DZ36" s="384"/>
      <c r="EA36" s="384"/>
      <c r="EB36" s="384"/>
      <c r="EC36" s="384"/>
      <c r="ED36" s="384"/>
      <c r="EE36" s="384"/>
      <c r="EF36" s="384"/>
      <c r="EG36" s="384"/>
      <c r="EH36" s="384"/>
      <c r="EI36" s="384"/>
      <c r="EJ36" s="384"/>
      <c r="EK36" s="384"/>
      <c r="EL36" s="384"/>
      <c r="EM36" s="384"/>
      <c r="EN36" s="384"/>
      <c r="EO36" s="384"/>
      <c r="EP36" s="384"/>
      <c r="EQ36" s="384"/>
      <c r="ER36" s="384"/>
      <c r="ES36" s="384"/>
      <c r="ET36" s="384"/>
      <c r="EU36" s="384"/>
      <c r="EV36" s="384"/>
      <c r="EW36" s="384"/>
      <c r="EX36" s="384"/>
      <c r="EY36" s="384"/>
      <c r="EZ36" s="384"/>
      <c r="FA36" s="384"/>
      <c r="FB36" s="384"/>
      <c r="FC36" s="384"/>
      <c r="FD36" s="384"/>
      <c r="FE36" s="384"/>
      <c r="FF36" s="384"/>
      <c r="FG36" s="384"/>
      <c r="FH36" s="384"/>
      <c r="FI36" s="384"/>
      <c r="FJ36" s="384"/>
      <c r="FK36" s="384"/>
      <c r="FL36" s="384"/>
      <c r="FM36" s="384"/>
      <c r="FN36" s="384"/>
      <c r="FO36" s="384"/>
      <c r="FP36" s="384"/>
      <c r="FQ36" s="384"/>
      <c r="FR36" s="384"/>
      <c r="FS36" s="384"/>
      <c r="FT36" s="384"/>
      <c r="FU36" s="384"/>
      <c r="FV36" s="384"/>
      <c r="FW36" s="384"/>
      <c r="FX36" s="384"/>
      <c r="FY36" s="384"/>
      <c r="FZ36" s="384"/>
      <c r="GA36" s="384"/>
      <c r="GB36" s="384"/>
      <c r="GC36" s="384"/>
      <c r="GD36" s="384"/>
      <c r="GE36" s="384"/>
      <c r="GF36" s="384"/>
      <c r="GG36" s="384"/>
      <c r="GH36" s="384"/>
      <c r="GI36" s="384"/>
      <c r="GJ36" s="384"/>
      <c r="GK36" s="384"/>
      <c r="GL36" s="384"/>
      <c r="GM36" s="384"/>
      <c r="GN36" s="384"/>
      <c r="GO36" s="384"/>
      <c r="GP36" s="384"/>
      <c r="GQ36" s="384"/>
      <c r="GR36" s="384"/>
      <c r="GS36" s="384"/>
      <c r="GT36" s="384"/>
      <c r="GU36" s="384"/>
      <c r="GV36" s="384"/>
      <c r="GW36" s="384"/>
      <c r="GX36" s="384"/>
      <c r="GY36" s="384"/>
      <c r="GZ36" s="384"/>
      <c r="HA36" s="384"/>
      <c r="HB36" s="384"/>
      <c r="HC36" s="384"/>
      <c r="HD36" s="384"/>
      <c r="HE36" s="384"/>
      <c r="HF36" s="384"/>
      <c r="HG36" s="384"/>
      <c r="HH36" s="384"/>
      <c r="HI36" s="384"/>
      <c r="HJ36" s="384"/>
      <c r="HK36" s="384"/>
      <c r="HL36" s="384"/>
      <c r="HM36" s="384"/>
      <c r="HN36" s="384"/>
      <c r="HO36" s="384"/>
      <c r="HP36" s="384"/>
      <c r="HQ36" s="384"/>
      <c r="HR36" s="384"/>
      <c r="HS36" s="384"/>
      <c r="HT36" s="384"/>
      <c r="HU36" s="384"/>
      <c r="HV36" s="384"/>
      <c r="HW36" s="384"/>
      <c r="HX36" s="384"/>
      <c r="HY36" s="384"/>
      <c r="HZ36" s="384"/>
      <c r="IA36" s="384"/>
      <c r="IB36" s="384"/>
    </row>
    <row r="37" spans="1:236">
      <c r="A37" s="522"/>
      <c r="B37" s="522"/>
      <c r="C37" s="522"/>
      <c r="D37" s="522"/>
      <c r="E37" s="522"/>
      <c r="F37" s="705" t="str">
        <f ca="1">"Quelle: EC "&amp;_xll.PALO.DATA("jedoxtest/EU_PM_CUBE02","#_Datenstand","reference_month",$D$3)&amp;"/"&amp;_xll.PALO.DATA("jedoxtest/EU_PM_CUBE02","#_Datenstand","reference_year",$D$3)&amp;"; Darstellung FFG"</f>
        <v>Quelle: EC 5/2026; Darstellung FFG</v>
      </c>
      <c r="G37" s="705"/>
      <c r="H37" s="705"/>
      <c r="I37" s="705"/>
      <c r="J37" s="705"/>
      <c r="K37" s="705"/>
      <c r="L37" s="705"/>
      <c r="M37" s="705"/>
      <c r="N37" s="705"/>
      <c r="O37" s="705"/>
      <c r="P37" s="705"/>
      <c r="Q37" s="705"/>
      <c r="R37" s="705"/>
    </row>
    <row r="38" spans="1:236">
      <c r="A38" s="522"/>
      <c r="B38" s="522"/>
      <c r="C38" s="522"/>
      <c r="D38" s="522"/>
      <c r="E38" s="522"/>
      <c r="F38" s="522"/>
      <c r="G38" s="522"/>
      <c r="H38" s="522"/>
      <c r="I38" s="522"/>
      <c r="J38" s="522"/>
      <c r="K38" s="522"/>
    </row>
    <row r="39" spans="1:236" hidden="1">
      <c r="A39" s="617" t="b">
        <f ca="1">_xll.PALO.HIDEROW(ISBLANK($A$1))</f>
        <v>1</v>
      </c>
      <c r="E39" s="113" t="s">
        <v>187</v>
      </c>
      <c r="H39" s="414" t="s">
        <v>130</v>
      </c>
      <c r="I39" s="414"/>
      <c r="J39" s="414"/>
      <c r="K39" s="414"/>
      <c r="M39" s="113" t="s">
        <v>44</v>
      </c>
    </row>
    <row r="40" spans="1:236" hidden="1">
      <c r="A40" s="617" t="b">
        <f ca="1">_xll.PALO.HIDEROW(ISBLANK($A$1))</f>
        <v>1</v>
      </c>
      <c r="E40" s="113">
        <v>1291</v>
      </c>
      <c r="F40" s="114" t="str">
        <f ca="1">_xll.PALO.DATAC("jedoxtest/EU_PM_CUBE02","#_Staatengruppen_und_NUTS","Langbezeichnung",$E40)</f>
        <v>Liechtenstein</v>
      </c>
      <c r="G40" s="114"/>
      <c r="H40" s="415">
        <f ca="1">_xll.PALO.DATAC("jedoxtest/EU_PM_CUBE02","EUPM_Mittel2_Cube",$D$3,"Alle Beteiligungen","Alle Koordinatoren","Alle Unternehmensgrößen","-2","Alle Organisationstypen",28,"Alle Expertevaluierungsstatus","-2","-2",$E40,"-2","Alle","-2",H$4)</f>
        <v>5</v>
      </c>
      <c r="I40" s="415">
        <f ca="1">_xll.PALO.DATAC("jedoxtest/EU_PM_CUBE02","EUPM_Mittel2_Cube",$D$3,"Alle Beteiligungen","Alle Koordinatoren","Alle Unternehmensgrößen","-2","Alle Organisationstypen",28,"Alle Expertevaluierungsstatus","-2","-2",$E40,"-2","Alle","-2",I$4)</f>
        <v>0</v>
      </c>
      <c r="J40" s="415" t="str">
        <f ca="1">_xll.PALO.DATAC("jedoxtest/EU_PM_CUBE02","EUPM_Mittel2_Cube",$D$3,"Alle Beteiligungen","Alle Koordinatoren","Alle Unternehmensgrößen","-2","Alle Organisationstypen",28,"Alle Expertevaluierungsstatus","-2","-2",$E40,"-2","Alle","-2",J$4)</f>
        <v/>
      </c>
      <c r="K40" s="416"/>
      <c r="L40" s="415">
        <f ca="1">_xll.PALO.DATAC("jedoxtest/EU_PM_CUBE02","EUPM_Mittel2_Cube",$D$3,"Alle Beteiligungen","Alle Koordinatoren","Alle Unternehmensgrößen","-2","Alle Organisationstypen",28,"Alle Expertevaluierungsstatus","-2","-2",$E40,"-2","Alle","-2",L$4)</f>
        <v>0</v>
      </c>
      <c r="M40" s="415">
        <f ca="1">_xll.PALO.DATAC("jedoxtest/EU_PM_CUBE02","EUPM_Mittel2_Cube",$D$3,"Alle Beteiligungen","Alle Koordinatoren","Alle Unternehmensgrößen","-2","Alle Organisationstypen",28,"Alle Expertevaluierungsstatus","-2","-2",$E40,"-2","Alle","-2",M$4)</f>
        <v>5</v>
      </c>
      <c r="N40" s="415">
        <f ca="1">_xll.PALO.DATAC("jedoxtest/EU_PM_CUBE02","EUPM_Mittel2_Cube",$D$3,"Alle Beteiligungen","Alle Koordinatoren","Alle Unternehmensgrößen","-2","Alle Organisationstypen",28,"Alle Expertevaluierungsstatus","-2","-2",$E40,"-2","Alle","-2",N$4)</f>
        <v>0</v>
      </c>
      <c r="O40" s="415">
        <f ca="1">_xll.PALO.DATAC("jedoxtest/EU_PM_CUBE02","EUPM_Mittel2_Cube",$D$3,"Alle Beteiligungen","Alle Koordinatoren","Alle Unternehmensgrößen","-2","Alle Organisationstypen",28,"Alle Expertevaluierungsstatus","-2","-2",$E40,"-2","Alle","-2",O$4)</f>
        <v>0</v>
      </c>
    </row>
    <row r="41" spans="1:236" hidden="1">
      <c r="A41" s="617" t="b">
        <f ca="1">_xll.PALO.HIDEROW(ISBLANK($A$1))</f>
        <v>1</v>
      </c>
      <c r="E41" s="113">
        <v>154</v>
      </c>
      <c r="F41" s="114" t="str">
        <f ca="1">_xll.PALO.DATAC("jedoxtest/EU_PM_CUBE02","#_Staatengruppen_und_NUTS","Langbezeichnung",$E41)</f>
        <v>Schweiz</v>
      </c>
      <c r="H41" s="415">
        <f ca="1">_xll.PALO.DATAC("jedoxtest/EU_PM_CUBE02","EUPM_Mittel2_Cube",$D$3,"Alle Beteiligungen","Alle Koordinatoren","Alle Unternehmensgrößen","-2","Alle Organisationstypen",28,"Alle Expertevaluierungsstatus","-2","-2",$E41,"-2","Alle","-2",H$4)</f>
        <v>3417</v>
      </c>
      <c r="I41" s="415">
        <f ca="1">_xll.PALO.DATAC("jedoxtest/EU_PM_CUBE02","EUPM_Mittel2_Cube",$D$3,"Alle Beteiligungen","Alle Koordinatoren","Alle Unternehmensgrößen","-2","Alle Organisationstypen",28,"Alle Expertevaluierungsstatus","-2","-2",$E41,"-2","Alle","-2",I$4)</f>
        <v>427353163.26999998</v>
      </c>
      <c r="J41" s="415" t="str">
        <f ca="1">_xll.PALO.DATAC("jedoxtest/EU_PM_CUBE02","EUPM_Mittel2_Cube",$D$3,"Alle Beteiligungen","Alle Koordinatoren","Alle Unternehmensgrößen","-2","Alle Organisationstypen",28,"Alle Expertevaluierungsstatus","-2","-2",$E41,"-2","Alle","-2",J$4)</f>
        <v/>
      </c>
      <c r="K41" s="416"/>
      <c r="L41" s="415">
        <f ca="1">_xll.PALO.DATAC("jedoxtest/EU_PM_CUBE02","EUPM_Mittel2_Cube",$D$3,"Alle Beteiligungen","Alle Koordinatoren","Alle Unternehmensgrößen","-2","Alle Organisationstypen",28,"Alle Expertevaluierungsstatus","-2","-2",$E41,"-2","Alle","-2",L$4)</f>
        <v>326</v>
      </c>
      <c r="M41" s="415">
        <f ca="1">_xll.PALO.DATAC("jedoxtest/EU_PM_CUBE02","EUPM_Mittel2_Cube",$D$3,"Alle Beteiligungen","Alle Koordinatoren","Alle Unternehmensgrößen","-2","Alle Organisationstypen",28,"Alle Expertevaluierungsstatus","-2","-2",$E41,"-2","Alle","-2",M$4)</f>
        <v>3417</v>
      </c>
      <c r="N41" s="415">
        <f ca="1">_xll.PALO.DATAC("jedoxtest/EU_PM_CUBE02","EUPM_Mittel2_Cube",$D$3,"Alle Beteiligungen","Alle Koordinatoren","Alle Unternehmensgrößen","-2","Alle Organisationstypen",28,"Alle Expertevaluierungsstatus","-2","-2",$E41,"-2","Alle","-2",N$4)</f>
        <v>427353163.26999998</v>
      </c>
      <c r="O41" s="415">
        <f ca="1">_xll.PALO.DATAC("jedoxtest/EU_PM_CUBE02","EUPM_Mittel2_Cube",$D$3,"Alle Beteiligungen","Alle Koordinatoren","Alle Unternehmensgrößen","-2","Alle Organisationstypen",28,"Alle Expertevaluierungsstatus","-2","-2",$E41,"-2","Alle","-2",O$4)</f>
        <v>326</v>
      </c>
    </row>
    <row r="42" spans="1:236" hidden="1">
      <c r="A42" s="617" t="b">
        <f ca="1">_xll.PALO.HIDEROW(ISBLANK($A$1))</f>
        <v>1</v>
      </c>
      <c r="E42" s="511">
        <v>-2</v>
      </c>
      <c r="F42" s="114" t="str">
        <f ca="1">_xll.PALO.DATAC("jedoxtest/EU_PM_CUBE02","#_Staatengruppen_und_NUTS","Langbezeichnung",$E42)</f>
        <v>Alle Staaten</v>
      </c>
      <c r="H42" s="415">
        <f ca="1">_xll.PALO.DATAC("jedoxtest/EU_PM_CUBE02","EUPM_Mittel2_Cube",$D$3,"Alle Beteiligungen","Alle Koordinatoren","Alle Unternehmensgrößen","-2","Alle Organisationstypen",28,"Alle Expertevaluierungsstatus","-2","-2",$E42,"-2","Alle","-2",H$4)</f>
        <v>137401</v>
      </c>
      <c r="I42" s="415">
        <f ca="1">_xll.PALO.DATAC("jedoxtest/EU_PM_CUBE02","EUPM_Mittel2_Cube",$D$3,"Alle Beteiligungen","Alle Koordinatoren","Alle Unternehmensgrößen","-2","Alle Organisationstypen",28,"Alle Expertevaluierungsstatus","-2","-2",$E42,"-2","Alle","-2",I$4)</f>
        <v>58295985379.557404</v>
      </c>
      <c r="J42" s="415" t="str">
        <f ca="1">_xll.PALO.DATAC("jedoxtest/EU_PM_CUBE02","EUPM_Mittel2_Cube",$D$3,"Alle Beteiligungen","Alle Koordinatoren","Alle Unternehmensgrößen","-2","Alle Organisationstypen",28,"Alle Expertevaluierungsstatus","-2","-2",$E42,"-2","Alle","-2",J$4)</f>
        <v/>
      </c>
      <c r="L42" s="415">
        <f ca="1">_xll.PALO.DATAC("jedoxtest/EU_PM_CUBE02","EUPM_Mittel2_Cube",$D$3,"Alle Beteiligungen","Alle Koordinatoren","Alle Unternehmensgrößen","-2","Alle Organisationstypen",28,"Alle Expertevaluierungsstatus","-2","-2",$E42,"-2","Alle","-2",L$4)</f>
        <v>23372</v>
      </c>
      <c r="M42" s="415">
        <f ca="1">_xll.PALO.DATAC("jedoxtest/EU_PM_CUBE02","EUPM_Mittel2_Cube",$D$3,"Alle Beteiligungen","Alle Koordinatoren","Alle Unternehmensgrößen","-2","Alle Organisationstypen",28,"Alle Expertevaluierungsstatus","-2","-2",$E42,"-2","Alle","-2",M$4)</f>
        <v>137401</v>
      </c>
      <c r="N42" s="415">
        <f ca="1">_xll.PALO.DATAC("jedoxtest/EU_PM_CUBE02","EUPM_Mittel2_Cube",$D$3,"Alle Beteiligungen","Alle Koordinatoren","Alle Unternehmensgrößen","-2","Alle Organisationstypen",28,"Alle Expertevaluierungsstatus","-2","-2",$E42,"-2","Alle","-2",N$4)</f>
        <v>58295985379.557404</v>
      </c>
      <c r="O42" s="415">
        <f ca="1">_xll.PALO.DATAC("jedoxtest/EU_PM_CUBE02","EUPM_Mittel2_Cube",$D$3,"Alle Beteiligungen","Alle Koordinatoren","Alle Unternehmensgrößen","-2","Alle Organisationstypen",28,"Alle Expertevaluierungsstatus","-2","-2",$E42,"-2","Alle","-2",O$4)</f>
        <v>23372</v>
      </c>
    </row>
    <row r="43" spans="1:236" ht="15.75" hidden="1" thickBot="1">
      <c r="A43" s="617" t="b">
        <f ca="1">_xll.PALO.HIDEROW(ISBLANK($A$1))</f>
        <v>1</v>
      </c>
    </row>
    <row r="44" spans="1:236" ht="15.75" hidden="1" thickTop="1">
      <c r="A44" s="617" t="b">
        <f ca="1">_xll.PALO.HIDEROW(ISBLANK($A$1))</f>
        <v>1</v>
      </c>
      <c r="D44" s="540"/>
      <c r="E44" s="541"/>
      <c r="F44" s="542" t="s">
        <v>267</v>
      </c>
      <c r="G44" s="541"/>
      <c r="H44" s="541"/>
      <c r="I44" s="543"/>
    </row>
    <row r="45" spans="1:236" hidden="1">
      <c r="A45" s="617" t="b">
        <f ca="1">_xll.PALO.HIDEROW(ISBLANK($A$1))</f>
        <v>1</v>
      </c>
      <c r="D45" s="544"/>
      <c r="E45" s="384"/>
      <c r="F45" s="384"/>
      <c r="G45" s="384"/>
      <c r="H45" s="384"/>
      <c r="I45" s="545"/>
    </row>
    <row r="46" spans="1:236" hidden="1">
      <c r="A46" s="617" t="b">
        <f ca="1">_xll.PALO.HIDEROW(ISBLANK($A$1))</f>
        <v>1</v>
      </c>
      <c r="D46" s="546">
        <v>2882</v>
      </c>
      <c r="E46" s="547">
        <v>10003</v>
      </c>
      <c r="F46" s="539" t="str">
        <f ca="1">_xll.PALO.DATAC("jedoxtest/EU_PM_CUBE02","#_Staatengruppen_und_NUTS","Langbezeichnung",$E46)</f>
        <v>Serbia</v>
      </c>
      <c r="G46" s="378" t="s">
        <v>185</v>
      </c>
      <c r="H46" s="379">
        <f ca="1">_xll.PALO.DATAC("jedoxtest/EU_PM_CUBE02","EUPM_Mittel2_Cube",$D$3,"Alle Beteiligungen","Alle Koordinatoren","Alle Unternehmensgrößen","-2","Alle Organisationstypen",28,"Alle Expertevaluierungsstatus","-2","-2",$E46,"-2","Alle","-2",H$4)</f>
        <v>0</v>
      </c>
      <c r="I46" s="379">
        <f ca="1">_xll.PALO.DATAC("jedoxtest/EU_PM_CUBE02","EUPM_Mittel2_Cube",$D$3,"Alle Beteiligungen","Alle Koordinatoren","Alle Unternehmensgrößen","-2","Alle Organisationstypen",28,"Alle Expertevaluierungsstatus","-2","-2",$E46,"-2","Alle","-2",I$4)</f>
        <v>0</v>
      </c>
      <c r="M46" s="415">
        <f ca="1">_xll.PALO.DATAC("jedoxtest/EU_PM_CUBE02","EUPM_Mittel2_Cube",$D$3,"Alle Beteiligungen","Alle Koordinatoren","Alle Unternehmensgrößen","-2","Alle Organisationstypen",28,"Alle Expertevaluierungsstatus","-2","-2",$E46,"-2","Alle","-2",M$4)</f>
        <v>0</v>
      </c>
      <c r="N46" s="415">
        <f ca="1">_xll.PALO.DATAC("jedoxtest/EU_PM_CUBE02","EUPM_Mittel2_Cube",$D$3,"Alle Beteiligungen","Alle Koordinatoren","Alle Unternehmensgrößen","-2","Alle Organisationstypen",28,"Alle Expertevaluierungsstatus","-2","-2",$E46,"-2","Alle","-2",N$4)</f>
        <v>0</v>
      </c>
      <c r="O46" s="415"/>
    </row>
    <row r="47" spans="1:236" hidden="1">
      <c r="A47" s="617" t="b">
        <f ca="1">_xll.PALO.HIDEROW(ISBLANK($A$1))</f>
        <v>1</v>
      </c>
      <c r="D47" s="546">
        <v>2802</v>
      </c>
      <c r="E47" s="547">
        <v>10004</v>
      </c>
      <c r="F47" s="539" t="str">
        <f ca="1">_xll.PALO.DATAC("jedoxtest/EU_PM_CUBE02","#_Staatengruppen_und_NUTS","Langbezeichnung",$E47)</f>
        <v>Albania</v>
      </c>
      <c r="G47" s="378" t="s">
        <v>184</v>
      </c>
      <c r="H47" s="379">
        <f ca="1">_xll.PALO.DATAC("jedoxtest/EU_PM_CUBE02","EUPM_Mittel2_Cube",$D$3,"Alle Beteiligungen","Alle Koordinatoren","Alle Unternehmensgrößen","-2","Alle Organisationstypen",28,"Alle Expertevaluierungsstatus","-2","-2",$E47,"-2","Alle","-2",H$4)</f>
        <v>0</v>
      </c>
      <c r="I47" s="379">
        <f ca="1">_xll.PALO.DATAC("jedoxtest/EU_PM_CUBE02","EUPM_Mittel2_Cube",$D$3,"Alle Beteiligungen","Alle Koordinatoren","Alle Unternehmensgrößen","-2","Alle Organisationstypen",28,"Alle Expertevaluierungsstatus","-2","-2",$E47,"-2","Alle","-2",I$4)</f>
        <v>0</v>
      </c>
      <c r="M47" s="415">
        <f ca="1">_xll.PALO.DATAC("jedoxtest/EU_PM_CUBE02","EUPM_Mittel2_Cube",$D$3,"Alle Beteiligungen","Alle Koordinatoren","Alle Unternehmensgrößen","-2","Alle Organisationstypen",28,"Alle Expertevaluierungsstatus","-2","-2",$E47,"-2","Alle","-2",M$4)</f>
        <v>0</v>
      </c>
      <c r="N47" s="415">
        <f ca="1">_xll.PALO.DATAC("jedoxtest/EU_PM_CUBE02","EUPM_Mittel2_Cube",$D$3,"Alle Beteiligungen","Alle Koordinatoren","Alle Unternehmensgrößen","-2","Alle Organisationstypen",28,"Alle Expertevaluierungsstatus","-2","-2",$E47,"-2","Alle","-2",N$4)</f>
        <v>0</v>
      </c>
      <c r="O47" s="415"/>
    </row>
    <row r="48" spans="1:236" hidden="1">
      <c r="A48" s="617" t="b">
        <f ca="1">_xll.PALO.HIDEROW(ISBLANK($A$1))</f>
        <v>1</v>
      </c>
      <c r="D48" s="548">
        <v>2854</v>
      </c>
      <c r="E48" s="547">
        <v>10002</v>
      </c>
      <c r="F48" s="539" t="str">
        <f ca="1">_xll.PALO.DATAC("jedoxtest/EU_PM_CUBE02","#_Staatengruppen_und_NUTS","Langbezeichnung",$E48)</f>
        <v>Montenegro</v>
      </c>
      <c r="G48" s="378" t="s">
        <v>184</v>
      </c>
      <c r="H48" s="379">
        <f ca="1">_xll.PALO.DATAC("jedoxtest/EU_PM_CUBE02","EUPM_Mittel2_Cube",$D$3,"Alle Beteiligungen","Alle Koordinatoren","Alle Unternehmensgrößen","-2","Alle Organisationstypen",28,"Alle Expertevaluierungsstatus","-2","-2",$E48,"-2","Alle","-2",H$4)</f>
        <v>0</v>
      </c>
      <c r="I48" s="379">
        <f ca="1">_xll.PALO.DATAC("jedoxtest/EU_PM_CUBE02","EUPM_Mittel2_Cube",$D$3,"Alle Beteiligungen","Alle Koordinatoren","Alle Unternehmensgrößen","-2","Alle Organisationstypen",28,"Alle Expertevaluierungsstatus","-2","-2",$E48,"-2","Alle","-2",I$4)</f>
        <v>0</v>
      </c>
      <c r="M48" s="415">
        <f ca="1">_xll.PALO.DATAC("jedoxtest/EU_PM_CUBE02","EUPM_Mittel2_Cube",$D$3,"Alle Beteiligungen","Alle Koordinatoren","Alle Unternehmensgrößen","-2","Alle Organisationstypen",28,"Alle Expertevaluierungsstatus","-2","-2",$E48,"-2","Alle","-2",M$4)</f>
        <v>0</v>
      </c>
      <c r="N48" s="415">
        <f ca="1">_xll.PALO.DATAC("jedoxtest/EU_PM_CUBE02","EUPM_Mittel2_Cube",$D$3,"Alle Beteiligungen","Alle Koordinatoren","Alle Unternehmensgrößen","-2","Alle Organisationstypen",28,"Alle Expertevaluierungsstatus","-2","-2",$E48,"-2","Alle","-2",N$4)</f>
        <v>0</v>
      </c>
      <c r="O48" s="415"/>
    </row>
    <row r="49" spans="1:15" hidden="1">
      <c r="A49" s="617" t="b">
        <f ca="1">_xll.PALO.HIDEROW(ISBLANK($A$1))</f>
        <v>1</v>
      </c>
      <c r="D49" s="544"/>
      <c r="E49" s="549">
        <v>2882</v>
      </c>
      <c r="F49" s="539" t="str">
        <f ca="1">_xll.PALO.DATAC("jedoxtest/EU_PM_CUBE02","#_Staatengruppen_und_NUTS","Langbezeichnung",$E49)</f>
        <v>Serbia</v>
      </c>
      <c r="G49" s="384"/>
      <c r="H49" s="379">
        <f ca="1">_xll.PALO.DATAC("jedoxtest/EU_PM_CUBE02","EUPM_Mittel2_Cube",$D$3,"Alle Beteiligungen","Alle Koordinatoren","Alle Unternehmensgrößen","-2","Alle Organisationstypen",28,"Alle Expertevaluierungsstatus","-2","-2",$E49,"-2","Alle","-2",H$4)</f>
        <v>620</v>
      </c>
      <c r="I49" s="379">
        <f ca="1">_xll.PALO.DATAC("jedoxtest/EU_PM_CUBE02","EUPM_Mittel2_Cube",$D$3,"Alle Beteiligungen","Alle Koordinatoren","Alle Unternehmensgrößen","-2","Alle Organisationstypen",28,"Alle Expertevaluierungsstatus","-2","-2",$E49,"-2","Alle","-2",I$4)</f>
        <v>155064956.63999999</v>
      </c>
      <c r="M49" s="415">
        <f ca="1">_xll.PALO.DATAC("jedoxtest/EU_PM_CUBE02","EUPM_Mittel2_Cube",$D$3,"Alle Beteiligungen","Alle Koordinatoren","Alle Unternehmensgrößen","-2","Alle Organisationstypen",28,"Alle Expertevaluierungsstatus","-2","-2",$E49,"-2","Alle","-2",M$4)</f>
        <v>620</v>
      </c>
      <c r="N49" s="415">
        <f ca="1">_xll.PALO.DATAC("jedoxtest/EU_PM_CUBE02","EUPM_Mittel2_Cube",$D$3,"Alle Beteiligungen","Alle Koordinatoren","Alle Unternehmensgrößen","-2","Alle Organisationstypen",28,"Alle Expertevaluierungsstatus","-2","-2",$E49,"-2","Alle","-2",N$4)</f>
        <v>155064956.63999999</v>
      </c>
      <c r="O49" s="415"/>
    </row>
    <row r="50" spans="1:15" hidden="1">
      <c r="A50" s="617" t="b">
        <f ca="1">_xll.PALO.HIDEROW(ISBLANK($A$1))</f>
        <v>1</v>
      </c>
      <c r="D50" s="544"/>
      <c r="E50" s="549">
        <v>2802</v>
      </c>
      <c r="F50" s="539" t="str">
        <f ca="1">_xll.PALO.DATAC("jedoxtest/EU_PM_CUBE02","#_Staatengruppen_und_NUTS","Langbezeichnung",$E50)</f>
        <v>Albania</v>
      </c>
      <c r="G50" s="384"/>
      <c r="H50" s="379">
        <f ca="1">_xll.PALO.DATAC("jedoxtest/EU_PM_CUBE02","EUPM_Mittel2_Cube",$D$3,"Alle Beteiligungen","Alle Koordinatoren","Alle Unternehmensgrößen","-2","Alle Organisationstypen",28,"Alle Expertevaluierungsstatus","-2","-2",$E50,"-2","Alle","-2",H$4)</f>
        <v>71</v>
      </c>
      <c r="I50" s="379">
        <f ca="1">_xll.PALO.DATAC("jedoxtest/EU_PM_CUBE02","EUPM_Mittel2_Cube",$D$3,"Alle Beteiligungen","Alle Koordinatoren","Alle Unternehmensgrößen","-2","Alle Organisationstypen",28,"Alle Expertevaluierungsstatus","-2","-2",$E50,"-2","Alle","-2",I$4)</f>
        <v>8199097.5599999996</v>
      </c>
      <c r="M50" s="415">
        <f ca="1">_xll.PALO.DATAC("jedoxtest/EU_PM_CUBE02","EUPM_Mittel2_Cube",$D$3,"Alle Beteiligungen","Alle Koordinatoren","Alle Unternehmensgrößen","-2","Alle Organisationstypen",28,"Alle Expertevaluierungsstatus","-2","-2",$E50,"-2","Alle","-2",M$4)</f>
        <v>71</v>
      </c>
      <c r="N50" s="415">
        <f ca="1">_xll.PALO.DATAC("jedoxtest/EU_PM_CUBE02","EUPM_Mittel2_Cube",$D$3,"Alle Beteiligungen","Alle Koordinatoren","Alle Unternehmensgrößen","-2","Alle Organisationstypen",28,"Alle Expertevaluierungsstatus","-2","-2",$E50,"-2","Alle","-2",N$4)</f>
        <v>8199097.5599999996</v>
      </c>
      <c r="O50" s="415"/>
    </row>
    <row r="51" spans="1:15" hidden="1">
      <c r="A51" s="617" t="b">
        <f ca="1">_xll.PALO.HIDEROW(ISBLANK($A$1))</f>
        <v>1</v>
      </c>
      <c r="D51" s="544"/>
      <c r="E51" s="537">
        <v>2854</v>
      </c>
      <c r="F51" s="539" t="str">
        <f ca="1">_xll.PALO.DATAC("jedoxtest/EU_PM_CUBE02","#_Staatengruppen_und_NUTS","Langbezeichnung",$E51)</f>
        <v>Montenegro</v>
      </c>
      <c r="G51" s="384"/>
      <c r="H51" s="379">
        <f ca="1">_xll.PALO.DATAC("jedoxtest/EU_PM_CUBE02","EUPM_Mittel2_Cube",$D$3,"Alle Beteiligungen","Alle Koordinatoren","Alle Unternehmensgrößen","-2","Alle Organisationstypen",28,"Alle Expertevaluierungsstatus","-2","-2",$E51,"-2","Alle","-2",H$4)</f>
        <v>49</v>
      </c>
      <c r="I51" s="379">
        <f ca="1">_xll.PALO.DATAC("jedoxtest/EU_PM_CUBE02","EUPM_Mittel2_Cube",$D$3,"Alle Beteiligungen","Alle Koordinatoren","Alle Unternehmensgrößen","-2","Alle Organisationstypen",28,"Alle Expertevaluierungsstatus","-2","-2",$E51,"-2","Alle","-2",I$4)</f>
        <v>5946085.0099999998</v>
      </c>
      <c r="M51" s="415">
        <f ca="1">_xll.PALO.DATAC("jedoxtest/EU_PM_CUBE02","EUPM_Mittel2_Cube",$D$3,"Alle Beteiligungen","Alle Koordinatoren","Alle Unternehmensgrößen","-2","Alle Organisationstypen",28,"Alle Expertevaluierungsstatus","-2","-2",$E51,"-2","Alle","-2",M$4)</f>
        <v>49</v>
      </c>
      <c r="N51" s="415">
        <f ca="1">_xll.PALO.DATAC("jedoxtest/EU_PM_CUBE02","EUPM_Mittel2_Cube",$D$3,"Alle Beteiligungen","Alle Koordinatoren","Alle Unternehmensgrößen","-2","Alle Organisationstypen",28,"Alle Expertevaluierungsstatus","-2","-2",$E51,"-2","Alle","-2",N$4)</f>
        <v>5946085.0099999998</v>
      </c>
      <c r="O51" s="415"/>
    </row>
    <row r="52" spans="1:15" ht="15.75" hidden="1" thickBot="1">
      <c r="A52" s="617" t="b">
        <f ca="1">_xll.PALO.HIDEROW(ISBLANK($A$1))</f>
        <v>1</v>
      </c>
      <c r="D52" s="550"/>
      <c r="E52" s="429">
        <v>1000051</v>
      </c>
      <c r="F52" s="539" t="str">
        <f ca="1">_xll.PALO.DATAC("jedoxtest/EU_PM_CUBE02","#_Staatengruppen_und_NUTS","Langbezeichnung",$E52)</f>
        <v>Assoziierte Staaten</v>
      </c>
      <c r="G52" s="551"/>
      <c r="H52" s="379">
        <f ca="1">_xll.PALO.DATAC("jedoxtest/EU_PM_CUBE02","EUPM_Mittel2_Cube",$D$3,"Alle Beteiligungen","Alle Koordinatoren","Alle Unternehmensgrößen","-2","Alle Organisationstypen",28,"Alle Expertevaluierungsstatus","-2","-2",$E52,"-2","Alle","-2",H$4)</f>
        <v>19132</v>
      </c>
      <c r="I52" s="379">
        <f ca="1">_xll.PALO.DATAC("jedoxtest/EU_PM_CUBE02","EUPM_Mittel2_Cube",$D$3,"Alle Beteiligungen","Alle Koordinatoren","Alle Unternehmensgrößen","-2","Alle Organisationstypen",28,"Alle Expertevaluierungsstatus","-2","-2",$E52,"-2","Alle","-2",I$4)</f>
        <v>5964321329.6900301</v>
      </c>
      <c r="M52" s="415">
        <f ca="1">_xll.PALO.DATAC("jedoxtest/EU_PM_CUBE02","EUPM_Mittel2_Cube",$D$3,"Alle Beteiligungen","Alle Koordinatoren","Alle Unternehmensgrößen","-2","Alle Organisationstypen",28,"Alle Expertevaluierungsstatus","-2","-2",$E52,"-2","Alle","-2",M$4)</f>
        <v>19132</v>
      </c>
      <c r="N52" s="415">
        <f ca="1">_xll.PALO.DATAC("jedoxtest/EU_PM_CUBE02","EUPM_Mittel2_Cube",$D$3,"Alle Beteiligungen","Alle Koordinatoren","Alle Unternehmensgrößen","-2","Alle Organisationstypen",28,"Alle Expertevaluierungsstatus","-2","-2",$E52,"-2","Alle","-2",N$4)</f>
        <v>5964321329.6900301</v>
      </c>
      <c r="O52" s="415"/>
    </row>
    <row r="53" spans="1:15" ht="15.75" hidden="1" thickTop="1">
      <c r="A53" s="617" t="b">
        <f ca="1">_xll.PALO.HIDEROW(ISBLANK($A$1))</f>
        <v>1</v>
      </c>
      <c r="F53" s="113" t="s">
        <v>268</v>
      </c>
      <c r="H53" s="552">
        <f ca="1">H9</f>
        <v>18928</v>
      </c>
      <c r="I53" s="553">
        <f ca="1">M9</f>
        <v>19132</v>
      </c>
      <c r="M53" s="415"/>
      <c r="N53" s="415"/>
      <c r="O53" s="415"/>
    </row>
    <row r="54" spans="1:15" hidden="1">
      <c r="A54" s="617" t="b">
        <f ca="1">_xll.PALO.HIDEROW(ISBLANK($A$1))</f>
        <v>1</v>
      </c>
      <c r="F54" s="113" t="s">
        <v>270</v>
      </c>
      <c r="H54" s="553">
        <f ca="1">SUM(H46:H48)</f>
        <v>0</v>
      </c>
      <c r="I54" s="553">
        <f ca="1">SUM(I46:I48)</f>
        <v>0</v>
      </c>
      <c r="M54" s="415"/>
      <c r="N54" s="415"/>
      <c r="O54" s="415"/>
    </row>
    <row r="55" spans="1:15" hidden="1">
      <c r="A55" s="617" t="b">
        <f ca="1">_xll.PALO.HIDEROW(ISBLANK($A$1))</f>
        <v>1</v>
      </c>
      <c r="F55" s="113" t="s">
        <v>269</v>
      </c>
      <c r="H55" s="552">
        <f ca="1">H53-H54</f>
        <v>18928</v>
      </c>
      <c r="I55" s="552">
        <f ca="1">I53-I54</f>
        <v>19132</v>
      </c>
      <c r="M55" s="415"/>
      <c r="N55" s="415"/>
      <c r="O55" s="415"/>
    </row>
    <row r="56" spans="1:15" hidden="1">
      <c r="A56" s="617" t="b">
        <f ca="1">_xll.PALO.HIDEROW(ISBLANK($A$1))</f>
        <v>1</v>
      </c>
    </row>
    <row r="57" spans="1:15" hidden="1">
      <c r="A57" s="617" t="b">
        <f ca="1">_xll.PALO.HIDEROW(ISBLANK($A$1))</f>
        <v>1</v>
      </c>
      <c r="E57" s="663">
        <f ca="1">TODAY()</f>
        <v>46204</v>
      </c>
    </row>
    <row r="58" spans="1:15" hidden="1">
      <c r="A58" s="617" t="b">
        <f ca="1">_xll.PALO.HIDEROW(ISBLANK($A$1))</f>
        <v>1</v>
      </c>
      <c r="E58" s="113" t="s">
        <v>422</v>
      </c>
    </row>
  </sheetData>
  <sortState xmlns:xlrd2="http://schemas.microsoft.com/office/spreadsheetml/2017/richdata2" ref="D11:R34">
    <sortCondition descending="1" ref="M11:M34"/>
    <sortCondition ref="F11:F34"/>
  </sortState>
  <mergeCells count="9">
    <mergeCell ref="F3:Q3"/>
    <mergeCell ref="F2:R2"/>
    <mergeCell ref="F36:R36"/>
    <mergeCell ref="F37:R37"/>
    <mergeCell ref="H8:I8"/>
    <mergeCell ref="J8:K8"/>
    <mergeCell ref="F9:G9"/>
    <mergeCell ref="H9:I9"/>
    <mergeCell ref="J9:K9"/>
  </mergeCells>
  <pageMargins left="0.70866141732283472" right="0.70866141732283472" top="0.74803149606299213" bottom="0.74803149606299213" header="0.31496062992125984" footer="0.31496062992125984"/>
  <pageSetup paperSize="9" scale="83"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HY47"/>
  <sheetViews>
    <sheetView topLeftCell="A7" zoomScaleNormal="100" workbookViewId="0">
      <selection activeCell="G37" sqref="G37"/>
    </sheetView>
  </sheetViews>
  <sheetFormatPr baseColWidth="10" defaultColWidth="11.42578125" defaultRowHeight="15"/>
  <cols>
    <col min="1" max="4" width="3.140625" style="481" customWidth="1"/>
    <col min="5" max="5" width="13.140625" style="511" customWidth="1"/>
    <col min="6" max="6" width="28" style="481" customWidth="1"/>
    <col min="7" max="8" width="17.7109375" style="481" customWidth="1"/>
    <col min="9" max="10" width="21.42578125" style="481" hidden="1" customWidth="1"/>
    <col min="11" max="11" width="2.7109375" style="508" hidden="1" customWidth="1"/>
    <col min="12" max="13" width="17.85546875" style="481" hidden="1" customWidth="1"/>
    <col min="14" max="14" width="17.85546875" style="481" customWidth="1"/>
    <col min="15" max="16" width="21.7109375" style="481" customWidth="1"/>
    <col min="17" max="17" width="22.28515625" style="481" customWidth="1"/>
    <col min="18" max="233" width="11.42578125" style="481"/>
    <col min="234" max="16384" width="11.42578125" style="480"/>
  </cols>
  <sheetData>
    <row r="1" spans="1:233" ht="18.75">
      <c r="A1" s="477"/>
      <c r="B1" s="477"/>
      <c r="C1" s="477"/>
      <c r="D1" s="477"/>
      <c r="E1" s="478"/>
      <c r="F1" s="669" t="s">
        <v>425</v>
      </c>
      <c r="G1" s="479"/>
      <c r="H1" s="479"/>
      <c r="I1" s="480"/>
    </row>
    <row r="2" spans="1:233" ht="23.25">
      <c r="A2" s="480"/>
      <c r="B2" s="480"/>
      <c r="D2" s="480"/>
      <c r="E2" s="482"/>
      <c r="F2" s="514" t="s">
        <v>242</v>
      </c>
      <c r="G2" s="514"/>
      <c r="H2" s="514"/>
      <c r="I2" s="480"/>
    </row>
    <row r="3" spans="1:233">
      <c r="B3" s="481" t="s">
        <v>28</v>
      </c>
      <c r="D3" s="481" t="str">
        <f ca="1">_xll.PALO.ENAME("jedoxtest/EU_PM_CUBE02","Datenstand",3)</f>
        <v>117</v>
      </c>
      <c r="E3" s="482"/>
      <c r="F3" s="505" t="s">
        <v>280</v>
      </c>
      <c r="G3" s="483"/>
      <c r="H3" s="483"/>
      <c r="I3" s="480"/>
    </row>
    <row r="4" spans="1:233" hidden="1">
      <c r="B4" s="480"/>
      <c r="E4" s="482"/>
      <c r="F4" s="480"/>
      <c r="G4" s="480" t="s">
        <v>57</v>
      </c>
      <c r="H4" s="480" t="s">
        <v>58</v>
      </c>
      <c r="I4" s="480"/>
      <c r="L4" s="480" t="s">
        <v>57</v>
      </c>
      <c r="M4" s="480" t="s">
        <v>58</v>
      </c>
      <c r="N4" s="480" t="s">
        <v>59</v>
      </c>
    </row>
    <row r="5" spans="1:233" hidden="1">
      <c r="F5" s="505" t="s">
        <v>244</v>
      </c>
    </row>
    <row r="7" spans="1:233" ht="44.25" customHeight="1">
      <c r="A7" s="480"/>
      <c r="B7" s="484"/>
      <c r="C7" s="484"/>
      <c r="D7" s="484"/>
      <c r="E7" s="485" t="s">
        <v>229</v>
      </c>
      <c r="F7" s="486" t="s">
        <v>30</v>
      </c>
      <c r="G7" s="487" t="s">
        <v>1</v>
      </c>
      <c r="H7" s="487" t="s">
        <v>109</v>
      </c>
      <c r="I7" s="487" t="s">
        <v>266</v>
      </c>
      <c r="J7" s="487" t="s">
        <v>265</v>
      </c>
      <c r="L7" s="382" t="s">
        <v>277</v>
      </c>
      <c r="M7" s="382" t="s">
        <v>278</v>
      </c>
      <c r="N7" s="382" t="s">
        <v>3</v>
      </c>
      <c r="O7" s="487" t="s">
        <v>266</v>
      </c>
      <c r="P7" s="487" t="s">
        <v>265</v>
      </c>
      <c r="Q7" s="487" t="s">
        <v>279</v>
      </c>
    </row>
    <row r="8" spans="1:233" s="490" customFormat="1">
      <c r="B8" s="491"/>
      <c r="C8" s="491"/>
      <c r="D8" s="492"/>
      <c r="E8" t="s">
        <v>365</v>
      </c>
      <c r="F8" s="676" t="str">
        <f ca="1">_xll.PALO.DATAC("jedoxtest/EU_PM_CUBE02","#_Staatengruppen_und_NUTS","Langbezeichnung",$E8)</f>
        <v>United States</v>
      </c>
      <c r="G8" s="488">
        <f ca="1">_xll.PALO.DATAC("jedoxtest/EU_PM_CUBE02","EUPM_Mittel2_Cube",$D$3,"Alle Beteiligungen","Alle Koordinatoren","Alle Unternehmensgrößen","-2","Alle Organisationstypen",28,"Alle Expertevaluierungsstatus","-2","-2",$E8,"-2","Alle","-2",G$4)</f>
        <v>1635</v>
      </c>
      <c r="H8" s="488">
        <f ca="1">_xll.PALO.DATAC("jedoxtest/EU_PM_CUBE02","EUPM_Mittel2_Cube",$D$3,"Alle Beteiligungen","Alle Koordinatoren","Alle Unternehmensgrößen","-2","Alle Organisationstypen",28,"Alle Expertevaluierungsstatus","-2","-2",$E8,"-2","Alle","-2",H$4)</f>
        <v>94055791.109999999</v>
      </c>
      <c r="I8" s="495">
        <f t="shared" ref="I8:I38" ca="1" si="0">G8/$G$47</f>
        <v>1.1899476714143275E-2</v>
      </c>
      <c r="J8" s="495">
        <f t="shared" ref="J8:J38" ca="1" si="1">H8/$H$47</f>
        <v>1.6134179823467305E-3</v>
      </c>
      <c r="K8" s="508"/>
      <c r="L8" s="488">
        <f ca="1">_xll.PALO.DATAC("jedoxtest/EU_PM_CUBE02","EUPM_Mittel2_Cube",$D$3,"Alle Beteiligungen","Alle Koordinatoren","Alle Unternehmensgrößen","-2","Alle Organisationstypen",28,"Alle Expertevaluierungsstatus","-2","-2",$E8,"-2","Alle","-2",L$4)</f>
        <v>1635</v>
      </c>
      <c r="M8" s="488">
        <f ca="1">_xll.PALO.DATAC("jedoxtest/EU_PM_CUBE02","EUPM_Mittel2_Cube",$D$3,"Alle Beteiligungen","Alle Koordinatoren","Alle Unternehmensgrößen","-2","Alle Organisationstypen",28,"Alle Expertevaluierungsstatus","-2","-2",$E8,"-2","Alle","-2",M$4)</f>
        <v>94055791.109999999</v>
      </c>
      <c r="N8" s="488">
        <f ca="1">_xll.PALO.DATAC("jedoxtest/EU_PM_CUBE02","EUPM_Mittel2_Cube",$D$3,"Alle Beteiligungen","Alle Koordinatoren","Alle Unternehmensgrößen","-2","Alle Organisationstypen",28,"Alle Expertevaluierungsstatus","-2","-2",$E8,"-2","Alle","-2",N$4)</f>
        <v>2</v>
      </c>
      <c r="O8" s="489">
        <f t="shared" ref="O8:O38" ca="1" si="2">L8/L$47</f>
        <v>1.1899476714143275E-2</v>
      </c>
      <c r="P8" s="489">
        <f t="shared" ref="P8:P38" ca="1" si="3">M8/M$47</f>
        <v>1.6134179823467305E-3</v>
      </c>
      <c r="Q8" s="489">
        <f t="shared" ref="Q8:Q38" ca="1" si="4">N8/N$47</f>
        <v>8.5572479890467222E-5</v>
      </c>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6"/>
      <c r="AV8" s="496"/>
      <c r="AW8" s="496"/>
      <c r="AX8" s="496"/>
      <c r="AY8" s="496"/>
      <c r="AZ8" s="496"/>
      <c r="BA8" s="496"/>
      <c r="BB8" s="496"/>
      <c r="BC8" s="496"/>
      <c r="BD8" s="496"/>
      <c r="BE8" s="496"/>
      <c r="BF8" s="496"/>
      <c r="BG8" s="496"/>
      <c r="BH8" s="496"/>
      <c r="BI8" s="496"/>
      <c r="BJ8" s="496"/>
      <c r="BK8" s="496"/>
      <c r="BL8" s="496"/>
      <c r="BM8" s="496"/>
      <c r="BN8" s="496"/>
      <c r="BO8" s="496"/>
      <c r="BP8" s="496"/>
      <c r="BQ8" s="496"/>
      <c r="BR8" s="496"/>
      <c r="BS8" s="496"/>
      <c r="BT8" s="496"/>
      <c r="BU8" s="496"/>
      <c r="BV8" s="496"/>
      <c r="BW8" s="496"/>
      <c r="BX8" s="496"/>
      <c r="BY8" s="496"/>
      <c r="BZ8" s="496"/>
      <c r="CA8" s="496"/>
      <c r="CB8" s="496"/>
      <c r="CC8" s="496"/>
      <c r="CD8" s="496"/>
      <c r="CE8" s="496"/>
      <c r="CF8" s="496"/>
      <c r="CG8" s="496"/>
      <c r="CH8" s="496"/>
      <c r="CI8" s="496"/>
      <c r="CJ8" s="496"/>
      <c r="CK8" s="496"/>
      <c r="CL8" s="496"/>
      <c r="CM8" s="496"/>
      <c r="CN8" s="496"/>
      <c r="CO8" s="496"/>
      <c r="CP8" s="496"/>
      <c r="CQ8" s="496"/>
      <c r="CR8" s="496"/>
      <c r="CS8" s="496"/>
      <c r="CT8" s="496"/>
      <c r="CU8" s="496"/>
      <c r="CV8" s="496"/>
      <c r="CW8" s="496"/>
      <c r="CX8" s="496"/>
      <c r="CY8" s="496"/>
      <c r="CZ8" s="496"/>
      <c r="DA8" s="496"/>
      <c r="DB8" s="496"/>
      <c r="DC8" s="496"/>
      <c r="DD8" s="496"/>
      <c r="DE8" s="496"/>
      <c r="DF8" s="496"/>
      <c r="DG8" s="496"/>
      <c r="DH8" s="496"/>
      <c r="DI8" s="496"/>
      <c r="DJ8" s="496"/>
      <c r="DK8" s="496"/>
      <c r="DL8" s="496"/>
      <c r="DM8" s="496"/>
      <c r="DN8" s="496"/>
      <c r="DO8" s="496"/>
      <c r="DP8" s="496"/>
      <c r="DQ8" s="496"/>
      <c r="DR8" s="496"/>
      <c r="DS8" s="496"/>
      <c r="DT8" s="496"/>
      <c r="DU8" s="496"/>
      <c r="DV8" s="496"/>
      <c r="DW8" s="496"/>
      <c r="DX8" s="496"/>
      <c r="DY8" s="496"/>
      <c r="DZ8" s="496"/>
      <c r="EA8" s="496"/>
      <c r="EB8" s="496"/>
      <c r="EC8" s="496"/>
      <c r="ED8" s="496"/>
      <c r="EE8" s="496"/>
      <c r="EF8" s="496"/>
      <c r="EG8" s="496"/>
      <c r="EH8" s="496"/>
      <c r="EI8" s="496"/>
      <c r="EJ8" s="496"/>
      <c r="EK8" s="496"/>
      <c r="EL8" s="496"/>
      <c r="EM8" s="496"/>
      <c r="EN8" s="496"/>
      <c r="EO8" s="496"/>
      <c r="EP8" s="496"/>
      <c r="EQ8" s="496"/>
      <c r="ER8" s="496"/>
      <c r="ES8" s="496"/>
      <c r="ET8" s="496"/>
      <c r="EU8" s="496"/>
      <c r="EV8" s="496"/>
      <c r="EW8" s="496"/>
      <c r="EX8" s="496"/>
      <c r="EY8" s="496"/>
      <c r="EZ8" s="496"/>
      <c r="FA8" s="496"/>
      <c r="FB8" s="496"/>
      <c r="FC8" s="496"/>
      <c r="FD8" s="496"/>
      <c r="FE8" s="496"/>
      <c r="FF8" s="496"/>
      <c r="FG8" s="496"/>
      <c r="FH8" s="496"/>
      <c r="FI8" s="496"/>
      <c r="FJ8" s="496"/>
      <c r="FK8" s="496"/>
      <c r="FL8" s="496"/>
      <c r="FM8" s="496"/>
      <c r="FN8" s="496"/>
      <c r="FO8" s="496"/>
      <c r="FP8" s="496"/>
      <c r="FQ8" s="496"/>
      <c r="FR8" s="496"/>
      <c r="FS8" s="496"/>
      <c r="FT8" s="496"/>
      <c r="FU8" s="496"/>
      <c r="FV8" s="496"/>
      <c r="FW8" s="496"/>
      <c r="FX8" s="496"/>
      <c r="FY8" s="496"/>
      <c r="FZ8" s="496"/>
      <c r="GA8" s="496"/>
      <c r="GB8" s="496"/>
      <c r="GC8" s="496"/>
      <c r="GD8" s="496"/>
      <c r="GE8" s="496"/>
      <c r="GF8" s="496"/>
      <c r="GG8" s="496"/>
      <c r="GH8" s="496"/>
      <c r="GI8" s="496"/>
      <c r="GJ8" s="496"/>
      <c r="GK8" s="496"/>
      <c r="GL8" s="496"/>
      <c r="GM8" s="496"/>
      <c r="GN8" s="496"/>
      <c r="GO8" s="496"/>
      <c r="GP8" s="496"/>
      <c r="GQ8" s="496"/>
      <c r="GR8" s="496"/>
      <c r="GS8" s="496"/>
      <c r="GT8" s="496"/>
      <c r="GU8" s="496"/>
      <c r="GV8" s="496"/>
      <c r="GW8" s="496"/>
      <c r="GX8" s="496"/>
      <c r="GY8" s="496"/>
      <c r="GZ8" s="496"/>
      <c r="HA8" s="496"/>
      <c r="HB8" s="496"/>
      <c r="HC8" s="496"/>
      <c r="HD8" s="496"/>
      <c r="HE8" s="496"/>
      <c r="HF8" s="496"/>
      <c r="HG8" s="496"/>
      <c r="HH8" s="496"/>
      <c r="HI8" s="496"/>
      <c r="HJ8" s="496"/>
      <c r="HK8" s="496"/>
      <c r="HL8" s="496"/>
      <c r="HM8" s="496"/>
      <c r="HN8" s="496"/>
      <c r="HO8" s="496"/>
      <c r="HP8" s="496"/>
      <c r="HQ8" s="496"/>
      <c r="HR8" s="496"/>
      <c r="HS8" s="496"/>
      <c r="HT8" s="496"/>
      <c r="HU8" s="496"/>
      <c r="HV8" s="496"/>
      <c r="HW8" s="496"/>
      <c r="HX8" s="496"/>
      <c r="HY8" s="496"/>
    </row>
    <row r="9" spans="1:233" s="490" customFormat="1">
      <c r="B9" s="491"/>
      <c r="C9" s="491"/>
      <c r="D9" s="492"/>
      <c r="E9" t="s">
        <v>366</v>
      </c>
      <c r="F9" s="493" t="str">
        <f ca="1">_xll.PALO.DATAC("jedoxtest/EU_PM_CUBE02","#_Staatengruppen_und_NUTS","Langbezeichnung",$E9)</f>
        <v>South Africa</v>
      </c>
      <c r="G9" s="494">
        <f ca="1">_xll.PALO.DATAC("jedoxtest/EU_PM_CUBE02","EUPM_Mittel2_Cube",$D$3,"Alle Beteiligungen","Alle Koordinatoren","Alle Unternehmensgrößen","-2","Alle Organisationstypen",28,"Alle Expertevaluierungsstatus","-2","-2",$E9,"-2","Alle","-2",G$4)</f>
        <v>303</v>
      </c>
      <c r="H9" s="494">
        <f ca="1">_xll.PALO.DATAC("jedoxtest/EU_PM_CUBE02","EUPM_Mittel2_Cube",$D$3,"Alle Beteiligungen","Alle Koordinatoren","Alle Unternehmensgrößen","-2","Alle Organisationstypen",28,"Alle Expertevaluierungsstatus","-2","-2",$E9,"-2","Alle","-2",H$4)</f>
        <v>96177673.939999998</v>
      </c>
      <c r="I9" s="495">
        <f t="shared" ca="1" si="0"/>
        <v>2.2052241250063681E-3</v>
      </c>
      <c r="J9" s="495">
        <f t="shared" ca="1" si="1"/>
        <v>1.6498164206986117E-3</v>
      </c>
      <c r="K9" s="508"/>
      <c r="L9" s="488">
        <f ca="1">_xll.PALO.DATAC("jedoxtest/EU_PM_CUBE02","EUPM_Mittel2_Cube",$D$3,"Alle Beteiligungen","Alle Koordinatoren","Alle Unternehmensgrößen","-2","Alle Organisationstypen",28,"Alle Expertevaluierungsstatus","-2","-2",$E9,"-2","Alle","-2",L$4)</f>
        <v>303</v>
      </c>
      <c r="M9" s="488">
        <f ca="1">_xll.PALO.DATAC("jedoxtest/EU_PM_CUBE02","EUPM_Mittel2_Cube",$D$3,"Alle Beteiligungen","Alle Koordinatoren","Alle Unternehmensgrößen","-2","Alle Organisationstypen",28,"Alle Expertevaluierungsstatus","-2","-2",$E9,"-2","Alle","-2",M$4)</f>
        <v>96177673.939999998</v>
      </c>
      <c r="N9" s="488">
        <f ca="1">_xll.PALO.DATAC("jedoxtest/EU_PM_CUBE02","EUPM_Mittel2_Cube",$D$3,"Alle Beteiligungen","Alle Koordinatoren","Alle Unternehmensgrößen","-2","Alle Organisationstypen",28,"Alle Expertevaluierungsstatus","-2","-2",$E9,"-2","Alle","-2",N$4)</f>
        <v>17</v>
      </c>
      <c r="O9" s="489">
        <f t="shared" ca="1" si="2"/>
        <v>2.2052241250063681E-3</v>
      </c>
      <c r="P9" s="489">
        <f t="shared" ca="1" si="3"/>
        <v>1.6498164206986117E-3</v>
      </c>
      <c r="Q9" s="489">
        <f t="shared" ca="1" si="4"/>
        <v>7.2736607906897144E-4</v>
      </c>
      <c r="R9" s="496"/>
      <c r="S9" s="496"/>
      <c r="T9" s="496"/>
      <c r="U9" s="496"/>
      <c r="V9" s="496"/>
      <c r="W9" s="496"/>
      <c r="X9" s="496"/>
      <c r="Y9" s="496"/>
      <c r="Z9" s="496"/>
      <c r="AA9" s="496"/>
      <c r="AB9" s="496"/>
      <c r="AC9" s="496"/>
      <c r="AD9" s="496"/>
      <c r="AE9" s="496"/>
      <c r="AF9" s="496"/>
      <c r="AG9" s="496"/>
      <c r="AH9" s="496"/>
      <c r="AI9" s="496"/>
      <c r="AJ9" s="496"/>
      <c r="AK9" s="496"/>
      <c r="AL9" s="496"/>
      <c r="AM9" s="496"/>
      <c r="AN9" s="496"/>
      <c r="AO9" s="496"/>
      <c r="AP9" s="496"/>
      <c r="AQ9" s="496"/>
      <c r="AR9" s="496"/>
      <c r="AS9" s="496"/>
      <c r="AT9" s="496"/>
      <c r="AU9" s="496"/>
      <c r="AV9" s="496"/>
      <c r="AW9" s="496"/>
      <c r="AX9" s="496"/>
      <c r="AY9" s="496"/>
      <c r="AZ9" s="496"/>
      <c r="BA9" s="496"/>
      <c r="BB9" s="496"/>
      <c r="BC9" s="496"/>
      <c r="BD9" s="496"/>
      <c r="BE9" s="496"/>
      <c r="BF9" s="496"/>
      <c r="BG9" s="496"/>
      <c r="BH9" s="496"/>
      <c r="BI9" s="496"/>
      <c r="BJ9" s="496"/>
      <c r="BK9" s="496"/>
      <c r="BL9" s="496"/>
      <c r="BM9" s="496"/>
      <c r="BN9" s="496"/>
      <c r="BO9" s="496"/>
      <c r="BP9" s="496"/>
      <c r="BQ9" s="496"/>
      <c r="BR9" s="496"/>
      <c r="BS9" s="496"/>
      <c r="BT9" s="496"/>
      <c r="BU9" s="496"/>
      <c r="BV9" s="496"/>
      <c r="BW9" s="496"/>
      <c r="BX9" s="496"/>
      <c r="BY9" s="496"/>
      <c r="BZ9" s="496"/>
      <c r="CA9" s="496"/>
      <c r="CB9" s="496"/>
      <c r="CC9" s="496"/>
      <c r="CD9" s="496"/>
      <c r="CE9" s="496"/>
      <c r="CF9" s="496"/>
      <c r="CG9" s="496"/>
      <c r="CH9" s="496"/>
      <c r="CI9" s="496"/>
      <c r="CJ9" s="496"/>
      <c r="CK9" s="496"/>
      <c r="CL9" s="496"/>
      <c r="CM9" s="496"/>
      <c r="CN9" s="496"/>
      <c r="CO9" s="496"/>
      <c r="CP9" s="496"/>
      <c r="CQ9" s="496"/>
      <c r="CR9" s="496"/>
      <c r="CS9" s="496"/>
      <c r="CT9" s="496"/>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496"/>
      <c r="DV9" s="496"/>
      <c r="DW9" s="496"/>
      <c r="DX9" s="496"/>
      <c r="DY9" s="496"/>
      <c r="DZ9" s="496"/>
      <c r="EA9" s="496"/>
      <c r="EB9" s="496"/>
      <c r="EC9" s="496"/>
      <c r="ED9" s="496"/>
      <c r="EE9" s="496"/>
      <c r="EF9" s="496"/>
      <c r="EG9" s="496"/>
      <c r="EH9" s="496"/>
      <c r="EI9" s="496"/>
      <c r="EJ9" s="496"/>
      <c r="EK9" s="496"/>
      <c r="EL9" s="496"/>
      <c r="EM9" s="496"/>
      <c r="EN9" s="496"/>
      <c r="EO9" s="496"/>
      <c r="EP9" s="496"/>
      <c r="EQ9" s="496"/>
      <c r="ER9" s="496"/>
      <c r="ES9" s="496"/>
      <c r="ET9" s="496"/>
      <c r="EU9" s="496"/>
      <c r="EV9" s="496"/>
      <c r="EW9" s="496"/>
      <c r="EX9" s="496"/>
      <c r="EY9" s="496"/>
      <c r="EZ9" s="496"/>
      <c r="FA9" s="496"/>
      <c r="FB9" s="496"/>
      <c r="FC9" s="496"/>
      <c r="FD9" s="496"/>
      <c r="FE9" s="496"/>
      <c r="FF9" s="496"/>
      <c r="FG9" s="496"/>
      <c r="FH9" s="496"/>
      <c r="FI9" s="496"/>
      <c r="FJ9" s="496"/>
      <c r="FK9" s="496"/>
      <c r="FL9" s="496"/>
      <c r="FM9" s="496"/>
      <c r="FN9" s="496"/>
      <c r="FO9" s="496"/>
      <c r="FP9" s="496"/>
      <c r="FQ9" s="496"/>
      <c r="FR9" s="496"/>
      <c r="FS9" s="496"/>
      <c r="FT9" s="496"/>
      <c r="FU9" s="496"/>
      <c r="FV9" s="496"/>
      <c r="FW9" s="496"/>
      <c r="FX9" s="496"/>
      <c r="FY9" s="496"/>
      <c r="FZ9" s="496"/>
      <c r="GA9" s="496"/>
      <c r="GB9" s="496"/>
      <c r="GC9" s="496"/>
      <c r="GD9" s="496"/>
      <c r="GE9" s="496"/>
      <c r="GF9" s="496"/>
      <c r="GG9" s="496"/>
      <c r="GH9" s="496"/>
      <c r="GI9" s="496"/>
      <c r="GJ9" s="496"/>
      <c r="GK9" s="496"/>
      <c r="GL9" s="496"/>
      <c r="GM9" s="496"/>
      <c r="GN9" s="496"/>
      <c r="GO9" s="496"/>
      <c r="GP9" s="496"/>
      <c r="GQ9" s="496"/>
      <c r="GR9" s="496"/>
      <c r="GS9" s="496"/>
      <c r="GT9" s="496"/>
      <c r="GU9" s="496"/>
      <c r="GV9" s="496"/>
      <c r="GW9" s="496"/>
      <c r="GX9" s="496"/>
      <c r="GY9" s="496"/>
      <c r="GZ9" s="496"/>
      <c r="HA9" s="496"/>
      <c r="HB9" s="496"/>
      <c r="HC9" s="496"/>
      <c r="HD9" s="496"/>
      <c r="HE9" s="496"/>
      <c r="HF9" s="496"/>
      <c r="HG9" s="496"/>
      <c r="HH9" s="496"/>
      <c r="HI9" s="496"/>
      <c r="HJ9" s="496"/>
      <c r="HK9" s="496"/>
      <c r="HL9" s="496"/>
      <c r="HM9" s="496"/>
      <c r="HN9" s="496"/>
      <c r="HO9" s="496"/>
      <c r="HP9" s="496"/>
      <c r="HQ9" s="496"/>
      <c r="HR9" s="496"/>
      <c r="HS9" s="496"/>
      <c r="HT9" s="496"/>
      <c r="HU9" s="496"/>
      <c r="HV9" s="496"/>
      <c r="HW9" s="496"/>
      <c r="HX9" s="496"/>
      <c r="HY9" s="496"/>
    </row>
    <row r="10" spans="1:233" s="490" customFormat="1">
      <c r="B10" s="491"/>
      <c r="C10" s="491"/>
      <c r="D10" s="497"/>
      <c r="E10" t="s">
        <v>368</v>
      </c>
      <c r="F10" s="493" t="str">
        <f ca="1">_xll.PALO.DATAC("jedoxtest/EU_PM_CUBE02","#_Staatengruppen_und_NUTS","Langbezeichnung",$E10)</f>
        <v>Australia</v>
      </c>
      <c r="G10" s="494">
        <f ca="1">_xll.PALO.DATAC("jedoxtest/EU_PM_CUBE02","EUPM_Mittel2_Cube",$D$3,"Alle Beteiligungen","Alle Koordinatoren","Alle Unternehmensgrößen","-2","Alle Organisationstypen",28,"Alle Expertevaluierungsstatus","-2","-2",$E10,"-2","Alle","-2",G$4)</f>
        <v>288</v>
      </c>
      <c r="H10" s="494">
        <f ca="1">_xll.PALO.DATAC("jedoxtest/EU_PM_CUBE02","EUPM_Mittel2_Cube",$D$3,"Alle Beteiligungen","Alle Koordinatoren","Alle Unternehmensgrößen","-2","Alle Organisationstypen",28,"Alle Expertevaluierungsstatus","-2","-2",$E10,"-2","Alle","-2",H$4)</f>
        <v>13977912.93</v>
      </c>
      <c r="I10" s="495">
        <f t="shared" ca="1" si="0"/>
        <v>2.0960546138674391E-3</v>
      </c>
      <c r="J10" s="495">
        <f t="shared" ca="1" si="1"/>
        <v>2.3977488053408255E-4</v>
      </c>
      <c r="K10" s="508"/>
      <c r="L10" s="488">
        <f ca="1">_xll.PALO.DATAC("jedoxtest/EU_PM_CUBE02","EUPM_Mittel2_Cube",$D$3,"Alle Beteiligungen","Alle Koordinatoren","Alle Unternehmensgrößen","-2","Alle Organisationstypen",28,"Alle Expertevaluierungsstatus","-2","-2",$E10,"-2","Alle","-2",L$4)</f>
        <v>288</v>
      </c>
      <c r="M10" s="488">
        <f ca="1">_xll.PALO.DATAC("jedoxtest/EU_PM_CUBE02","EUPM_Mittel2_Cube",$D$3,"Alle Beteiligungen","Alle Koordinatoren","Alle Unternehmensgrößen","-2","Alle Organisationstypen",28,"Alle Expertevaluierungsstatus","-2","-2",$E10,"-2","Alle","-2",M$4)</f>
        <v>13977912.93</v>
      </c>
      <c r="N10" s="488">
        <f ca="1">_xll.PALO.DATAC("jedoxtest/EU_PM_CUBE02","EUPM_Mittel2_Cube",$D$3,"Alle Beteiligungen","Alle Koordinatoren","Alle Unternehmensgrößen","-2","Alle Organisationstypen",28,"Alle Expertevaluierungsstatus","-2","-2",$E10,"-2","Alle","-2",N$4)</f>
        <v>2</v>
      </c>
      <c r="O10" s="489">
        <f t="shared" ca="1" si="2"/>
        <v>2.0960546138674391E-3</v>
      </c>
      <c r="P10" s="489">
        <f t="shared" ca="1" si="3"/>
        <v>2.3977488053408255E-4</v>
      </c>
      <c r="Q10" s="489">
        <f t="shared" ca="1" si="4"/>
        <v>8.5572479890467222E-5</v>
      </c>
      <c r="R10" s="496"/>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6"/>
      <c r="AV10" s="496"/>
      <c r="AW10" s="496"/>
      <c r="AX10" s="496"/>
      <c r="AY10" s="496"/>
      <c r="AZ10" s="496"/>
      <c r="BA10" s="496"/>
      <c r="BB10" s="496"/>
      <c r="BC10" s="496"/>
      <c r="BD10" s="496"/>
      <c r="BE10" s="496"/>
      <c r="BF10" s="496"/>
      <c r="BG10" s="496"/>
      <c r="BH10" s="496"/>
      <c r="BI10" s="496"/>
      <c r="BJ10" s="496"/>
      <c r="BK10" s="496"/>
      <c r="BL10" s="496"/>
      <c r="BM10" s="496"/>
      <c r="BN10" s="496"/>
      <c r="BO10" s="496"/>
      <c r="BP10" s="496"/>
      <c r="BQ10" s="496"/>
      <c r="BR10" s="496"/>
      <c r="BS10" s="496"/>
      <c r="BT10" s="496"/>
      <c r="BU10" s="496"/>
      <c r="BV10" s="496"/>
      <c r="BW10" s="496"/>
      <c r="BX10" s="496"/>
      <c r="BY10" s="496"/>
      <c r="BZ10" s="496"/>
      <c r="CA10" s="496"/>
      <c r="CB10" s="496"/>
      <c r="CC10" s="496"/>
      <c r="CD10" s="496"/>
      <c r="CE10" s="496"/>
      <c r="CF10" s="496"/>
      <c r="CG10" s="496"/>
      <c r="CH10" s="496"/>
      <c r="CI10" s="496"/>
      <c r="CJ10" s="496"/>
      <c r="CK10" s="496"/>
      <c r="CL10" s="496"/>
      <c r="CM10" s="496"/>
      <c r="CN10" s="496"/>
      <c r="CO10" s="496"/>
      <c r="CP10" s="496"/>
      <c r="CQ10" s="496"/>
      <c r="CR10" s="496"/>
      <c r="CS10" s="496"/>
      <c r="CT10" s="496"/>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496"/>
      <c r="DV10" s="496"/>
      <c r="DW10" s="496"/>
      <c r="DX10" s="496"/>
      <c r="DY10" s="496"/>
      <c r="DZ10" s="496"/>
      <c r="EA10" s="496"/>
      <c r="EB10" s="496"/>
      <c r="EC10" s="496"/>
      <c r="ED10" s="496"/>
      <c r="EE10" s="496"/>
      <c r="EF10" s="496"/>
      <c r="EG10" s="496"/>
      <c r="EH10" s="496"/>
      <c r="EI10" s="496"/>
      <c r="EJ10" s="496"/>
      <c r="EK10" s="496"/>
      <c r="EL10" s="496"/>
      <c r="EM10" s="496"/>
      <c r="EN10" s="496"/>
      <c r="EO10" s="496"/>
      <c r="EP10" s="496"/>
      <c r="EQ10" s="496"/>
      <c r="ER10" s="496"/>
      <c r="ES10" s="496"/>
      <c r="ET10" s="496"/>
      <c r="EU10" s="496"/>
      <c r="EV10" s="496"/>
      <c r="EW10" s="496"/>
      <c r="EX10" s="496"/>
      <c r="EY10" s="496"/>
      <c r="EZ10" s="496"/>
      <c r="FA10" s="496"/>
      <c r="FB10" s="496"/>
      <c r="FC10" s="496"/>
      <c r="FD10" s="496"/>
      <c r="FE10" s="496"/>
      <c r="FF10" s="496"/>
      <c r="FG10" s="496"/>
      <c r="FH10" s="496"/>
      <c r="FI10" s="496"/>
      <c r="FJ10" s="496"/>
      <c r="FK10" s="496"/>
      <c r="FL10" s="496"/>
      <c r="FM10" s="496"/>
      <c r="FN10" s="496"/>
      <c r="FO10" s="496"/>
      <c r="FP10" s="496"/>
      <c r="FQ10" s="496"/>
      <c r="FR10" s="496"/>
      <c r="FS10" s="496"/>
      <c r="FT10" s="496"/>
      <c r="FU10" s="496"/>
      <c r="FV10" s="496"/>
      <c r="FW10" s="496"/>
      <c r="FX10" s="496"/>
      <c r="FY10" s="496"/>
      <c r="FZ10" s="496"/>
      <c r="GA10" s="496"/>
      <c r="GB10" s="496"/>
      <c r="GC10" s="496"/>
      <c r="GD10" s="496"/>
      <c r="GE10" s="496"/>
      <c r="GF10" s="496"/>
      <c r="GG10" s="496"/>
      <c r="GH10" s="496"/>
      <c r="GI10" s="496"/>
      <c r="GJ10" s="496"/>
      <c r="GK10" s="496"/>
      <c r="GL10" s="496"/>
      <c r="GM10" s="496"/>
      <c r="GN10" s="496"/>
      <c r="GO10" s="496"/>
      <c r="GP10" s="496"/>
      <c r="GQ10" s="496"/>
      <c r="GR10" s="496"/>
      <c r="GS10" s="496"/>
      <c r="GT10" s="496"/>
      <c r="GU10" s="496"/>
      <c r="GV10" s="496"/>
      <c r="GW10" s="496"/>
      <c r="GX10" s="496"/>
      <c r="GY10" s="496"/>
      <c r="GZ10" s="496"/>
      <c r="HA10" s="496"/>
      <c r="HB10" s="496"/>
      <c r="HC10" s="496"/>
      <c r="HD10" s="496"/>
      <c r="HE10" s="496"/>
      <c r="HF10" s="496"/>
      <c r="HG10" s="496"/>
      <c r="HH10" s="496"/>
      <c r="HI10" s="496"/>
      <c r="HJ10" s="496"/>
      <c r="HK10" s="496"/>
      <c r="HL10" s="496"/>
      <c r="HM10" s="496"/>
      <c r="HN10" s="496"/>
      <c r="HO10" s="496"/>
      <c r="HP10" s="496"/>
      <c r="HQ10" s="496"/>
      <c r="HR10" s="496"/>
      <c r="HS10" s="496"/>
      <c r="HT10" s="496"/>
      <c r="HU10" s="496"/>
      <c r="HV10" s="496"/>
      <c r="HW10" s="496"/>
      <c r="HX10" s="496"/>
      <c r="HY10" s="496"/>
    </row>
    <row r="11" spans="1:233" s="490" customFormat="1">
      <c r="B11" s="491"/>
      <c r="C11" s="491"/>
      <c r="D11" s="492"/>
      <c r="E11" t="s">
        <v>367</v>
      </c>
      <c r="F11" s="493" t="str">
        <f ca="1">_xll.PALO.DATAC("jedoxtest/EU_PM_CUBE02","#_Staatengruppen_und_NUTS","Langbezeichnung",$E11)</f>
        <v>China (People's Republic of)</v>
      </c>
      <c r="G11" s="494">
        <f ca="1">_xll.PALO.DATAC("jedoxtest/EU_PM_CUBE02","EUPM_Mittel2_Cube",$D$3,"Alle Beteiligungen","Alle Koordinatoren","Alle Unternehmensgrößen","-2","Alle Organisationstypen",28,"Alle Expertevaluierungsstatus","-2","-2",$E11,"-2","Alle","-2",G$4)</f>
        <v>277</v>
      </c>
      <c r="H11" s="494">
        <f ca="1">_xll.PALO.DATAC("jedoxtest/EU_PM_CUBE02","EUPM_Mittel2_Cube",$D$3,"Alle Beteiligungen","Alle Koordinatoren","Alle Unternehmensgrößen","-2","Alle Organisationstypen",28,"Alle Expertevaluierungsstatus","-2","-2",$E11,"-2","Alle","-2",H$4)</f>
        <v>1098117</v>
      </c>
      <c r="I11" s="495">
        <f t="shared" ca="1" si="0"/>
        <v>2.0159969723655578E-3</v>
      </c>
      <c r="J11" s="495">
        <f t="shared" ca="1" si="1"/>
        <v>1.8836923209210828E-5</v>
      </c>
      <c r="K11" s="508"/>
      <c r="L11" s="488">
        <f ca="1">_xll.PALO.DATAC("jedoxtest/EU_PM_CUBE02","EUPM_Mittel2_Cube",$D$3,"Alle Beteiligungen","Alle Koordinatoren","Alle Unternehmensgrößen","-2","Alle Organisationstypen",28,"Alle Expertevaluierungsstatus","-2","-2",$E11,"-2","Alle","-2",L$4)</f>
        <v>277</v>
      </c>
      <c r="M11" s="488">
        <f ca="1">_xll.PALO.DATAC("jedoxtest/EU_PM_CUBE02","EUPM_Mittel2_Cube",$D$3,"Alle Beteiligungen","Alle Koordinatoren","Alle Unternehmensgrößen","-2","Alle Organisationstypen",28,"Alle Expertevaluierungsstatus","-2","-2",$E11,"-2","Alle","-2",M$4)</f>
        <v>1098117</v>
      </c>
      <c r="N11" s="488">
        <f ca="1">_xll.PALO.DATAC("jedoxtest/EU_PM_CUBE02","EUPM_Mittel2_Cube",$D$3,"Alle Beteiligungen","Alle Koordinatoren","Alle Unternehmensgrößen","-2","Alle Organisationstypen",28,"Alle Expertevaluierungsstatus","-2","-2",$E11,"-2","Alle","-2",N$4)</f>
        <v>0</v>
      </c>
      <c r="O11" s="489">
        <f t="shared" ca="1" si="2"/>
        <v>2.0159969723655578E-3</v>
      </c>
      <c r="P11" s="489">
        <f t="shared" ca="1" si="3"/>
        <v>1.8836923209210828E-5</v>
      </c>
      <c r="Q11" s="489">
        <f t="shared" ca="1" si="4"/>
        <v>0</v>
      </c>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6"/>
      <c r="AY11" s="496"/>
      <c r="AZ11" s="496"/>
      <c r="BA11" s="496"/>
      <c r="BB11" s="496"/>
      <c r="BC11" s="496"/>
      <c r="BD11" s="496"/>
      <c r="BE11" s="496"/>
      <c r="BF11" s="496"/>
      <c r="BG11" s="496"/>
      <c r="BH11" s="496"/>
      <c r="BI11" s="496"/>
      <c r="BJ11" s="496"/>
      <c r="BK11" s="496"/>
      <c r="BL11" s="496"/>
      <c r="BM11" s="496"/>
      <c r="BN11" s="496"/>
      <c r="BO11" s="496"/>
      <c r="BP11" s="496"/>
      <c r="BQ11" s="496"/>
      <c r="BR11" s="496"/>
      <c r="BS11" s="496"/>
      <c r="BT11" s="496"/>
      <c r="BU11" s="496"/>
      <c r="BV11" s="496"/>
      <c r="BW11" s="496"/>
      <c r="BX11" s="496"/>
      <c r="BY11" s="496"/>
      <c r="BZ11" s="496"/>
      <c r="CA11" s="496"/>
      <c r="CB11" s="496"/>
      <c r="CC11" s="496"/>
      <c r="CD11" s="496"/>
      <c r="CE11" s="496"/>
      <c r="CF11" s="496"/>
      <c r="CG11" s="496"/>
      <c r="CH11" s="496"/>
      <c r="CI11" s="496"/>
      <c r="CJ11" s="496"/>
      <c r="CK11" s="496"/>
      <c r="CL11" s="496"/>
      <c r="CM11" s="496"/>
      <c r="CN11" s="496"/>
      <c r="CO11" s="496"/>
      <c r="CP11" s="496"/>
      <c r="CQ11" s="496"/>
      <c r="CR11" s="496"/>
      <c r="CS11" s="496"/>
      <c r="CT11" s="496"/>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496"/>
      <c r="DW11" s="496"/>
      <c r="DX11" s="496"/>
      <c r="DY11" s="496"/>
      <c r="DZ11" s="496"/>
      <c r="EA11" s="496"/>
      <c r="EB11" s="496"/>
      <c r="EC11" s="496"/>
      <c r="ED11" s="496"/>
      <c r="EE11" s="496"/>
      <c r="EF11" s="496"/>
      <c r="EG11" s="496"/>
      <c r="EH11" s="496"/>
      <c r="EI11" s="496"/>
      <c r="EJ11" s="496"/>
      <c r="EK11" s="496"/>
      <c r="EL11" s="496"/>
      <c r="EM11" s="496"/>
      <c r="EN11" s="496"/>
      <c r="EO11" s="496"/>
      <c r="EP11" s="496"/>
      <c r="EQ11" s="496"/>
      <c r="ER11" s="496"/>
      <c r="ES11" s="496"/>
      <c r="ET11" s="496"/>
      <c r="EU11" s="496"/>
      <c r="EV11" s="496"/>
      <c r="EW11" s="496"/>
      <c r="EX11" s="496"/>
      <c r="EY11" s="496"/>
      <c r="EZ11" s="496"/>
      <c r="FA11" s="496"/>
      <c r="FB11" s="496"/>
      <c r="FC11" s="496"/>
      <c r="FD11" s="496"/>
      <c r="FE11" s="496"/>
      <c r="FF11" s="496"/>
      <c r="FG11" s="496"/>
      <c r="FH11" s="496"/>
      <c r="FI11" s="496"/>
      <c r="FJ11" s="496"/>
      <c r="FK11" s="496"/>
      <c r="FL11" s="496"/>
      <c r="FM11" s="496"/>
      <c r="FN11" s="496"/>
      <c r="FO11" s="496"/>
      <c r="FP11" s="496"/>
      <c r="FQ11" s="496"/>
      <c r="FR11" s="496"/>
      <c r="FS11" s="496"/>
      <c r="FT11" s="496"/>
      <c r="FU11" s="496"/>
      <c r="FV11" s="496"/>
      <c r="FW11" s="496"/>
      <c r="FX11" s="496"/>
      <c r="FY11" s="496"/>
      <c r="FZ11" s="496"/>
      <c r="GA11" s="496"/>
      <c r="GB11" s="496"/>
      <c r="GC11" s="496"/>
      <c r="GD11" s="496"/>
      <c r="GE11" s="496"/>
      <c r="GF11" s="496"/>
      <c r="GG11" s="496"/>
      <c r="GH11" s="496"/>
      <c r="GI11" s="496"/>
      <c r="GJ11" s="496"/>
      <c r="GK11" s="496"/>
      <c r="GL11" s="496"/>
      <c r="GM11" s="496"/>
      <c r="GN11" s="496"/>
      <c r="GO11" s="496"/>
      <c r="GP11" s="496"/>
      <c r="GQ11" s="496"/>
      <c r="GR11" s="496"/>
      <c r="GS11" s="496"/>
      <c r="GT11" s="496"/>
      <c r="GU11" s="496"/>
      <c r="GV11" s="496"/>
      <c r="GW11" s="496"/>
      <c r="GX11" s="496"/>
      <c r="GY11" s="496"/>
      <c r="GZ11" s="496"/>
      <c r="HA11" s="496"/>
      <c r="HB11" s="496"/>
      <c r="HC11" s="496"/>
      <c r="HD11" s="496"/>
      <c r="HE11" s="496"/>
      <c r="HF11" s="496"/>
      <c r="HG11" s="496"/>
      <c r="HH11" s="496"/>
      <c r="HI11" s="496"/>
      <c r="HJ11" s="496"/>
      <c r="HK11" s="496"/>
      <c r="HL11" s="496"/>
      <c r="HM11" s="496"/>
      <c r="HN11" s="496"/>
      <c r="HO11" s="496"/>
      <c r="HP11" s="496"/>
      <c r="HQ11" s="496"/>
      <c r="HR11" s="496"/>
      <c r="HS11" s="496"/>
      <c r="HT11" s="496"/>
      <c r="HU11" s="496"/>
      <c r="HV11" s="496"/>
      <c r="HW11" s="496"/>
      <c r="HX11" s="496"/>
      <c r="HY11" s="496"/>
    </row>
    <row r="12" spans="1:233" s="490" customFormat="1">
      <c r="B12" s="491"/>
      <c r="C12" s="491"/>
      <c r="D12" s="492"/>
      <c r="E12" t="s">
        <v>370</v>
      </c>
      <c r="F12" s="493" t="str">
        <f ca="1">_xll.PALO.DATAC("jedoxtest/EU_PM_CUBE02","#_Staatengruppen_und_NUTS","Langbezeichnung",$E12)</f>
        <v>Brazil</v>
      </c>
      <c r="G12" s="494">
        <f ca="1">_xll.PALO.DATAC("jedoxtest/EU_PM_CUBE02","EUPM_Mittel2_Cube",$D$3,"Alle Beteiligungen","Alle Koordinatoren","Alle Unternehmensgrößen","-2","Alle Organisationstypen",28,"Alle Expertevaluierungsstatus","-2","-2",$E12,"-2","Alle","-2",G$4)</f>
        <v>214</v>
      </c>
      <c r="H12" s="494">
        <f ca="1">_xll.PALO.DATAC("jedoxtest/EU_PM_CUBE02","EUPM_Mittel2_Cube",$D$3,"Alle Beteiligungen","Alle Koordinatoren","Alle Unternehmensgrößen","-2","Alle Organisationstypen",28,"Alle Expertevaluierungsstatus","-2","-2",$E12,"-2","Alle","-2",H$4)</f>
        <v>3959194.95</v>
      </c>
      <c r="I12" s="495">
        <f t="shared" ca="1" si="0"/>
        <v>1.5574850255820555E-3</v>
      </c>
      <c r="J12" s="495">
        <f t="shared" ca="1" si="1"/>
        <v>6.7915396304260217E-5</v>
      </c>
      <c r="K12" s="508"/>
      <c r="L12" s="488">
        <f ca="1">_xll.PALO.DATAC("jedoxtest/EU_PM_CUBE02","EUPM_Mittel2_Cube",$D$3,"Alle Beteiligungen","Alle Koordinatoren","Alle Unternehmensgrößen","-2","Alle Organisationstypen",28,"Alle Expertevaluierungsstatus","-2","-2",$E12,"-2","Alle","-2",L$4)</f>
        <v>214</v>
      </c>
      <c r="M12" s="488">
        <f ca="1">_xll.PALO.DATAC("jedoxtest/EU_PM_CUBE02","EUPM_Mittel2_Cube",$D$3,"Alle Beteiligungen","Alle Koordinatoren","Alle Unternehmensgrößen","-2","Alle Organisationstypen",28,"Alle Expertevaluierungsstatus","-2","-2",$E12,"-2","Alle","-2",M$4)</f>
        <v>3959194.95</v>
      </c>
      <c r="N12" s="488">
        <f ca="1">_xll.PALO.DATAC("jedoxtest/EU_PM_CUBE02","EUPM_Mittel2_Cube",$D$3,"Alle Beteiligungen","Alle Koordinatoren","Alle Unternehmensgrößen","-2","Alle Organisationstypen",28,"Alle Expertevaluierungsstatus","-2","-2",$E12,"-2","Alle","-2",N$4)</f>
        <v>0</v>
      </c>
      <c r="O12" s="489">
        <f t="shared" ca="1" si="2"/>
        <v>1.5574850255820555E-3</v>
      </c>
      <c r="P12" s="489">
        <f t="shared" ca="1" si="3"/>
        <v>6.7915396304260217E-5</v>
      </c>
      <c r="Q12" s="489">
        <f t="shared" ca="1" si="4"/>
        <v>0</v>
      </c>
      <c r="R12" s="496"/>
      <c r="S12" s="496"/>
      <c r="T12" s="496"/>
      <c r="U12" s="496"/>
      <c r="V12" s="496"/>
      <c r="W12" s="496"/>
      <c r="X12" s="496"/>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6"/>
      <c r="BK12" s="496"/>
      <c r="BL12" s="496"/>
      <c r="BM12" s="496"/>
      <c r="BN12" s="496"/>
      <c r="BO12" s="496"/>
      <c r="BP12" s="496"/>
      <c r="BQ12" s="496"/>
      <c r="BR12" s="496"/>
      <c r="BS12" s="496"/>
      <c r="BT12" s="496"/>
      <c r="BU12" s="496"/>
      <c r="BV12" s="496"/>
      <c r="BW12" s="496"/>
      <c r="BX12" s="496"/>
      <c r="BY12" s="496"/>
      <c r="BZ12" s="496"/>
      <c r="CA12" s="496"/>
      <c r="CB12" s="496"/>
      <c r="CC12" s="496"/>
      <c r="CD12" s="496"/>
      <c r="CE12" s="496"/>
      <c r="CF12" s="496"/>
      <c r="CG12" s="496"/>
      <c r="CH12" s="496"/>
      <c r="CI12" s="496"/>
      <c r="CJ12" s="496"/>
      <c r="CK12" s="496"/>
      <c r="CL12" s="496"/>
      <c r="CM12" s="496"/>
      <c r="CN12" s="496"/>
      <c r="CO12" s="496"/>
      <c r="CP12" s="496"/>
      <c r="CQ12" s="496"/>
      <c r="CR12" s="496"/>
      <c r="CS12" s="496"/>
      <c r="CT12" s="496"/>
      <c r="CU12" s="496"/>
      <c r="CV12" s="496"/>
      <c r="CW12" s="496"/>
      <c r="CX12" s="496"/>
      <c r="CY12" s="496"/>
      <c r="CZ12" s="496"/>
      <c r="DA12" s="496"/>
      <c r="DB12" s="496"/>
      <c r="DC12" s="496"/>
      <c r="DD12" s="496"/>
      <c r="DE12" s="496"/>
      <c r="DF12" s="496"/>
      <c r="DG12" s="496"/>
      <c r="DH12" s="496"/>
      <c r="DI12" s="496"/>
      <c r="DJ12" s="496"/>
      <c r="DK12" s="496"/>
      <c r="DL12" s="496"/>
      <c r="DM12" s="496"/>
      <c r="DN12" s="496"/>
      <c r="DO12" s="496"/>
      <c r="DP12" s="496"/>
      <c r="DQ12" s="496"/>
      <c r="DR12" s="496"/>
      <c r="DS12" s="496"/>
      <c r="DT12" s="496"/>
      <c r="DU12" s="496"/>
      <c r="DV12" s="496"/>
      <c r="DW12" s="496"/>
      <c r="DX12" s="496"/>
      <c r="DY12" s="496"/>
      <c r="DZ12" s="496"/>
      <c r="EA12" s="496"/>
      <c r="EB12" s="496"/>
      <c r="EC12" s="496"/>
      <c r="ED12" s="496"/>
      <c r="EE12" s="496"/>
      <c r="EF12" s="496"/>
      <c r="EG12" s="496"/>
      <c r="EH12" s="496"/>
      <c r="EI12" s="496"/>
      <c r="EJ12" s="496"/>
      <c r="EK12" s="496"/>
      <c r="EL12" s="496"/>
      <c r="EM12" s="496"/>
      <c r="EN12" s="496"/>
      <c r="EO12" s="496"/>
      <c r="EP12" s="496"/>
      <c r="EQ12" s="496"/>
      <c r="ER12" s="496"/>
      <c r="ES12" s="496"/>
      <c r="ET12" s="496"/>
      <c r="EU12" s="496"/>
      <c r="EV12" s="496"/>
      <c r="EW12" s="496"/>
      <c r="EX12" s="496"/>
      <c r="EY12" s="496"/>
      <c r="EZ12" s="496"/>
      <c r="FA12" s="496"/>
      <c r="FB12" s="496"/>
      <c r="FC12" s="496"/>
      <c r="FD12" s="496"/>
      <c r="FE12" s="496"/>
      <c r="FF12" s="496"/>
      <c r="FG12" s="496"/>
      <c r="FH12" s="496"/>
      <c r="FI12" s="496"/>
      <c r="FJ12" s="496"/>
      <c r="FK12" s="496"/>
      <c r="FL12" s="496"/>
      <c r="FM12" s="496"/>
      <c r="FN12" s="496"/>
      <c r="FO12" s="496"/>
      <c r="FP12" s="496"/>
      <c r="FQ12" s="496"/>
      <c r="FR12" s="496"/>
      <c r="FS12" s="496"/>
      <c r="FT12" s="496"/>
      <c r="FU12" s="496"/>
      <c r="FV12" s="496"/>
      <c r="FW12" s="496"/>
      <c r="FX12" s="496"/>
      <c r="FY12" s="496"/>
      <c r="FZ12" s="496"/>
      <c r="GA12" s="496"/>
      <c r="GB12" s="496"/>
      <c r="GC12" s="496"/>
      <c r="GD12" s="496"/>
      <c r="GE12" s="496"/>
      <c r="GF12" s="496"/>
      <c r="GG12" s="496"/>
      <c r="GH12" s="496"/>
      <c r="GI12" s="496"/>
      <c r="GJ12" s="496"/>
      <c r="GK12" s="496"/>
      <c r="GL12" s="496"/>
      <c r="GM12" s="496"/>
      <c r="GN12" s="496"/>
      <c r="GO12" s="496"/>
      <c r="GP12" s="496"/>
      <c r="GQ12" s="496"/>
      <c r="GR12" s="496"/>
      <c r="GS12" s="496"/>
      <c r="GT12" s="496"/>
      <c r="GU12" s="496"/>
      <c r="GV12" s="496"/>
      <c r="GW12" s="496"/>
      <c r="GX12" s="496"/>
      <c r="GY12" s="496"/>
      <c r="GZ12" s="496"/>
      <c r="HA12" s="496"/>
      <c r="HB12" s="496"/>
      <c r="HC12" s="496"/>
      <c r="HD12" s="496"/>
      <c r="HE12" s="496"/>
      <c r="HF12" s="496"/>
      <c r="HG12" s="496"/>
      <c r="HH12" s="496"/>
      <c r="HI12" s="496"/>
      <c r="HJ12" s="496"/>
      <c r="HK12" s="496"/>
      <c r="HL12" s="496"/>
      <c r="HM12" s="496"/>
      <c r="HN12" s="496"/>
      <c r="HO12" s="496"/>
      <c r="HP12" s="496"/>
      <c r="HQ12" s="496"/>
      <c r="HR12" s="496"/>
      <c r="HS12" s="496"/>
      <c r="HT12" s="496"/>
      <c r="HU12" s="496"/>
      <c r="HV12" s="496"/>
      <c r="HW12" s="496"/>
      <c r="HX12" s="496"/>
      <c r="HY12" s="496"/>
    </row>
    <row r="13" spans="1:233" s="490" customFormat="1">
      <c r="B13" s="491"/>
      <c r="C13" s="491"/>
      <c r="D13" s="492"/>
      <c r="E13" t="s">
        <v>369</v>
      </c>
      <c r="F13" s="493" t="str">
        <f ca="1">_xll.PALO.DATAC("jedoxtest/EU_PM_CUBE02","#_Staatengruppen_und_NUTS","Langbezeichnung",$E13)</f>
        <v>Kenya</v>
      </c>
      <c r="G13" s="494">
        <f ca="1">_xll.PALO.DATAC("jedoxtest/EU_PM_CUBE02","EUPM_Mittel2_Cube",$D$3,"Alle Beteiligungen","Alle Koordinatoren","Alle Unternehmensgrößen","-2","Alle Organisationstypen",28,"Alle Expertevaluierungsstatus","-2","-2",$E13,"-2","Alle","-2",G$4)</f>
        <v>192</v>
      </c>
      <c r="H13" s="494">
        <f ca="1">_xll.PALO.DATAC("jedoxtest/EU_PM_CUBE02","EUPM_Mittel2_Cube",$D$3,"Alle Beteiligungen","Alle Koordinatoren","Alle Unternehmensgrößen","-2","Alle Organisationstypen",28,"Alle Expertevaluierungsstatus","-2","-2",$E13,"-2","Alle","-2",H$4)</f>
        <v>73514318.260000005</v>
      </c>
      <c r="I13" s="495">
        <f t="shared" ca="1" si="0"/>
        <v>1.3973697425782928E-3</v>
      </c>
      <c r="J13" s="495">
        <f t="shared" ca="1" si="1"/>
        <v>1.26105284577245E-3</v>
      </c>
      <c r="K13" s="508"/>
      <c r="L13" s="488">
        <f ca="1">_xll.PALO.DATAC("jedoxtest/EU_PM_CUBE02","EUPM_Mittel2_Cube",$D$3,"Alle Beteiligungen","Alle Koordinatoren","Alle Unternehmensgrößen","-2","Alle Organisationstypen",28,"Alle Expertevaluierungsstatus","-2","-2",$E13,"-2","Alle","-2",L$4)</f>
        <v>192</v>
      </c>
      <c r="M13" s="488">
        <f ca="1">_xll.PALO.DATAC("jedoxtest/EU_PM_CUBE02","EUPM_Mittel2_Cube",$D$3,"Alle Beteiligungen","Alle Koordinatoren","Alle Unternehmensgrößen","-2","Alle Organisationstypen",28,"Alle Expertevaluierungsstatus","-2","-2",$E13,"-2","Alle","-2",M$4)</f>
        <v>73514318.260000005</v>
      </c>
      <c r="N13" s="488">
        <f ca="1">_xll.PALO.DATAC("jedoxtest/EU_PM_CUBE02","EUPM_Mittel2_Cube",$D$3,"Alle Beteiligungen","Alle Koordinatoren","Alle Unternehmensgrößen","-2","Alle Organisationstypen",28,"Alle Expertevaluierungsstatus","-2","-2",$E13,"-2","Alle","-2",N$4)</f>
        <v>1</v>
      </c>
      <c r="O13" s="489">
        <f t="shared" ca="1" si="2"/>
        <v>1.3973697425782928E-3</v>
      </c>
      <c r="P13" s="489">
        <f t="shared" ca="1" si="3"/>
        <v>1.26105284577245E-3</v>
      </c>
      <c r="Q13" s="489">
        <f t="shared" ca="1" si="4"/>
        <v>4.2786239945233611E-5</v>
      </c>
      <c r="R13" s="496"/>
      <c r="S13" s="496"/>
      <c r="T13" s="496"/>
      <c r="U13" s="496"/>
      <c r="V13" s="496"/>
      <c r="W13" s="496"/>
      <c r="X13" s="496"/>
      <c r="Y13" s="496"/>
      <c r="Z13" s="496"/>
      <c r="AA13" s="496"/>
      <c r="AB13" s="496"/>
      <c r="AC13" s="496"/>
      <c r="AD13" s="496"/>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6"/>
      <c r="BB13" s="496"/>
      <c r="BC13" s="496"/>
      <c r="BD13" s="496"/>
      <c r="BE13" s="496"/>
      <c r="BF13" s="496"/>
      <c r="BG13" s="496"/>
      <c r="BH13" s="496"/>
      <c r="BI13" s="496"/>
      <c r="BJ13" s="496"/>
      <c r="BK13" s="496"/>
      <c r="BL13" s="496"/>
      <c r="BM13" s="496"/>
      <c r="BN13" s="496"/>
      <c r="BO13" s="496"/>
      <c r="BP13" s="496"/>
      <c r="BQ13" s="496"/>
      <c r="BR13" s="496"/>
      <c r="BS13" s="496"/>
      <c r="BT13" s="496"/>
      <c r="BU13" s="496"/>
      <c r="BV13" s="496"/>
      <c r="BW13" s="496"/>
      <c r="BX13" s="496"/>
      <c r="BY13" s="496"/>
      <c r="BZ13" s="496"/>
      <c r="CA13" s="496"/>
      <c r="CB13" s="496"/>
      <c r="CC13" s="496"/>
      <c r="CD13" s="496"/>
      <c r="CE13" s="496"/>
      <c r="CF13" s="496"/>
      <c r="CG13" s="496"/>
      <c r="CH13" s="496"/>
      <c r="CI13" s="496"/>
      <c r="CJ13" s="496"/>
      <c r="CK13" s="496"/>
      <c r="CL13" s="496"/>
      <c r="CM13" s="496"/>
      <c r="CN13" s="496"/>
      <c r="CO13" s="496"/>
      <c r="CP13" s="496"/>
      <c r="CQ13" s="496"/>
      <c r="CR13" s="496"/>
      <c r="CS13" s="496"/>
      <c r="CT13" s="496"/>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496"/>
      <c r="DW13" s="496"/>
      <c r="DX13" s="496"/>
      <c r="DY13" s="496"/>
      <c r="DZ13" s="496"/>
      <c r="EA13" s="496"/>
      <c r="EB13" s="496"/>
      <c r="EC13" s="496"/>
      <c r="ED13" s="496"/>
      <c r="EE13" s="496"/>
      <c r="EF13" s="496"/>
      <c r="EG13" s="496"/>
      <c r="EH13" s="496"/>
      <c r="EI13" s="496"/>
      <c r="EJ13" s="496"/>
      <c r="EK13" s="496"/>
      <c r="EL13" s="496"/>
      <c r="EM13" s="496"/>
      <c r="EN13" s="496"/>
      <c r="EO13" s="496"/>
      <c r="EP13" s="496"/>
      <c r="EQ13" s="496"/>
      <c r="ER13" s="496"/>
      <c r="ES13" s="496"/>
      <c r="ET13" s="496"/>
      <c r="EU13" s="496"/>
      <c r="EV13" s="496"/>
      <c r="EW13" s="496"/>
      <c r="EX13" s="496"/>
      <c r="EY13" s="496"/>
      <c r="EZ13" s="496"/>
      <c r="FA13" s="496"/>
      <c r="FB13" s="496"/>
      <c r="FC13" s="496"/>
      <c r="FD13" s="496"/>
      <c r="FE13" s="496"/>
      <c r="FF13" s="496"/>
      <c r="FG13" s="496"/>
      <c r="FH13" s="496"/>
      <c r="FI13" s="496"/>
      <c r="FJ13" s="496"/>
      <c r="FK13" s="496"/>
      <c r="FL13" s="496"/>
      <c r="FM13" s="496"/>
      <c r="FN13" s="496"/>
      <c r="FO13" s="496"/>
      <c r="FP13" s="496"/>
      <c r="FQ13" s="496"/>
      <c r="FR13" s="496"/>
      <c r="FS13" s="496"/>
      <c r="FT13" s="496"/>
      <c r="FU13" s="496"/>
      <c r="FV13" s="496"/>
      <c r="FW13" s="496"/>
      <c r="FX13" s="496"/>
      <c r="FY13" s="496"/>
      <c r="FZ13" s="496"/>
      <c r="GA13" s="496"/>
      <c r="GB13" s="496"/>
      <c r="GC13" s="496"/>
      <c r="GD13" s="496"/>
      <c r="GE13" s="496"/>
      <c r="GF13" s="496"/>
      <c r="GG13" s="496"/>
      <c r="GH13" s="496"/>
      <c r="GI13" s="496"/>
      <c r="GJ13" s="496"/>
      <c r="GK13" s="496"/>
      <c r="GL13" s="496"/>
      <c r="GM13" s="496"/>
      <c r="GN13" s="496"/>
      <c r="GO13" s="496"/>
      <c r="GP13" s="496"/>
      <c r="GQ13" s="496"/>
      <c r="GR13" s="496"/>
      <c r="GS13" s="496"/>
      <c r="GT13" s="496"/>
      <c r="GU13" s="496"/>
      <c r="GV13" s="496"/>
      <c r="GW13" s="496"/>
      <c r="GX13" s="496"/>
      <c r="GY13" s="496"/>
      <c r="GZ13" s="496"/>
      <c r="HA13" s="496"/>
      <c r="HB13" s="496"/>
      <c r="HC13" s="496"/>
      <c r="HD13" s="496"/>
      <c r="HE13" s="496"/>
      <c r="HF13" s="496"/>
      <c r="HG13" s="496"/>
      <c r="HH13" s="496"/>
      <c r="HI13" s="496"/>
      <c r="HJ13" s="496"/>
      <c r="HK13" s="496"/>
      <c r="HL13" s="496"/>
      <c r="HM13" s="496"/>
      <c r="HN13" s="496"/>
      <c r="HO13" s="496"/>
      <c r="HP13" s="496"/>
      <c r="HQ13" s="496"/>
      <c r="HR13" s="496"/>
      <c r="HS13" s="496"/>
      <c r="HT13" s="496"/>
      <c r="HU13" s="496"/>
      <c r="HV13" s="496"/>
      <c r="HW13" s="496"/>
      <c r="HX13" s="496"/>
      <c r="HY13" s="496"/>
    </row>
    <row r="14" spans="1:233" s="490" customFormat="1">
      <c r="B14" s="491"/>
      <c r="C14" s="491"/>
      <c r="D14" s="492"/>
      <c r="E14" t="s">
        <v>371</v>
      </c>
      <c r="F14" s="493" t="str">
        <f ca="1">_xll.PALO.DATAC("jedoxtest/EU_PM_CUBE02","#_Staatengruppen_und_NUTS","Langbezeichnung",$E14)</f>
        <v>Argentina</v>
      </c>
      <c r="G14" s="494">
        <f ca="1">_xll.PALO.DATAC("jedoxtest/EU_PM_CUBE02","EUPM_Mittel2_Cube",$D$3,"Alle Beteiligungen","Alle Koordinatoren","Alle Unternehmensgrößen","-2","Alle Organisationstypen",28,"Alle Expertevaluierungsstatus","-2","-2",$E14,"-2","Alle","-2",G$4)</f>
        <v>178</v>
      </c>
      <c r="H14" s="494">
        <f ca="1">_xll.PALO.DATAC("jedoxtest/EU_PM_CUBE02","EUPM_Mittel2_Cube",$D$3,"Alle Beteiligungen","Alle Koordinatoren","Alle Unternehmensgrößen","-2","Alle Organisationstypen",28,"Alle Expertevaluierungsstatus","-2","-2",$E14,"-2","Alle","-2",H$4)</f>
        <v>1982955.72</v>
      </c>
      <c r="I14" s="495">
        <f t="shared" ca="1" si="0"/>
        <v>1.2954781988486256E-3</v>
      </c>
      <c r="J14" s="495">
        <f t="shared" ca="1" si="1"/>
        <v>3.4015304949204294E-5</v>
      </c>
      <c r="K14" s="508"/>
      <c r="L14" s="488">
        <f ca="1">_xll.PALO.DATAC("jedoxtest/EU_PM_CUBE02","EUPM_Mittel2_Cube",$D$3,"Alle Beteiligungen","Alle Koordinatoren","Alle Unternehmensgrößen","-2","Alle Organisationstypen",28,"Alle Expertevaluierungsstatus","-2","-2",$E14,"-2","Alle","-2",L$4)</f>
        <v>178</v>
      </c>
      <c r="M14" s="488">
        <f ca="1">_xll.PALO.DATAC("jedoxtest/EU_PM_CUBE02","EUPM_Mittel2_Cube",$D$3,"Alle Beteiligungen","Alle Koordinatoren","Alle Unternehmensgrößen","-2","Alle Organisationstypen",28,"Alle Expertevaluierungsstatus","-2","-2",$E14,"-2","Alle","-2",M$4)</f>
        <v>1982955.72</v>
      </c>
      <c r="N14" s="488">
        <f ca="1">_xll.PALO.DATAC("jedoxtest/EU_PM_CUBE02","EUPM_Mittel2_Cube",$D$3,"Alle Beteiligungen","Alle Koordinatoren","Alle Unternehmensgrößen","-2","Alle Organisationstypen",28,"Alle Expertevaluierungsstatus","-2","-2",$E14,"-2","Alle","-2",N$4)</f>
        <v>0</v>
      </c>
      <c r="O14" s="489">
        <f t="shared" ca="1" si="2"/>
        <v>1.2954781988486256E-3</v>
      </c>
      <c r="P14" s="489">
        <f t="shared" ca="1" si="3"/>
        <v>3.4015304949204294E-5</v>
      </c>
      <c r="Q14" s="489">
        <f t="shared" ca="1" si="4"/>
        <v>0</v>
      </c>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c r="BB14" s="496"/>
      <c r="BC14" s="496"/>
      <c r="BD14" s="496"/>
      <c r="BE14" s="496"/>
      <c r="BF14" s="496"/>
      <c r="BG14" s="496"/>
      <c r="BH14" s="496"/>
      <c r="BI14" s="496"/>
      <c r="BJ14" s="496"/>
      <c r="BK14" s="496"/>
      <c r="BL14" s="496"/>
      <c r="BM14" s="496"/>
      <c r="BN14" s="496"/>
      <c r="BO14" s="496"/>
      <c r="BP14" s="496"/>
      <c r="BQ14" s="496"/>
      <c r="BR14" s="496"/>
      <c r="BS14" s="496"/>
      <c r="BT14" s="496"/>
      <c r="BU14" s="496"/>
      <c r="BV14" s="496"/>
      <c r="BW14" s="496"/>
      <c r="BX14" s="496"/>
      <c r="BY14" s="496"/>
      <c r="BZ14" s="496"/>
      <c r="CA14" s="496"/>
      <c r="CB14" s="496"/>
      <c r="CC14" s="496"/>
      <c r="CD14" s="496"/>
      <c r="CE14" s="496"/>
      <c r="CF14" s="496"/>
      <c r="CG14" s="496"/>
      <c r="CH14" s="496"/>
      <c r="CI14" s="496"/>
      <c r="CJ14" s="496"/>
      <c r="CK14" s="496"/>
      <c r="CL14" s="496"/>
      <c r="CM14" s="496"/>
      <c r="CN14" s="496"/>
      <c r="CO14" s="496"/>
      <c r="CP14" s="496"/>
      <c r="CQ14" s="496"/>
      <c r="CR14" s="496"/>
      <c r="CS14" s="496"/>
      <c r="CT14" s="496"/>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6"/>
      <c r="DQ14" s="496"/>
      <c r="DR14" s="496"/>
      <c r="DS14" s="496"/>
      <c r="DT14" s="496"/>
      <c r="DU14" s="496"/>
      <c r="DV14" s="496"/>
      <c r="DW14" s="496"/>
      <c r="DX14" s="496"/>
      <c r="DY14" s="496"/>
      <c r="DZ14" s="496"/>
      <c r="EA14" s="496"/>
      <c r="EB14" s="496"/>
      <c r="EC14" s="496"/>
      <c r="ED14" s="496"/>
      <c r="EE14" s="496"/>
      <c r="EF14" s="496"/>
      <c r="EG14" s="496"/>
      <c r="EH14" s="496"/>
      <c r="EI14" s="496"/>
      <c r="EJ14" s="496"/>
      <c r="EK14" s="496"/>
      <c r="EL14" s="496"/>
      <c r="EM14" s="496"/>
      <c r="EN14" s="496"/>
      <c r="EO14" s="496"/>
      <c r="EP14" s="496"/>
      <c r="EQ14" s="496"/>
      <c r="ER14" s="496"/>
      <c r="ES14" s="496"/>
      <c r="ET14" s="496"/>
      <c r="EU14" s="496"/>
      <c r="EV14" s="496"/>
      <c r="EW14" s="496"/>
      <c r="EX14" s="496"/>
      <c r="EY14" s="496"/>
      <c r="EZ14" s="496"/>
      <c r="FA14" s="496"/>
      <c r="FB14" s="496"/>
      <c r="FC14" s="496"/>
      <c r="FD14" s="496"/>
      <c r="FE14" s="496"/>
      <c r="FF14" s="496"/>
      <c r="FG14" s="496"/>
      <c r="FH14" s="496"/>
      <c r="FI14" s="496"/>
      <c r="FJ14" s="496"/>
      <c r="FK14" s="496"/>
      <c r="FL14" s="496"/>
      <c r="FM14" s="496"/>
      <c r="FN14" s="496"/>
      <c r="FO14" s="496"/>
      <c r="FP14" s="496"/>
      <c r="FQ14" s="496"/>
      <c r="FR14" s="496"/>
      <c r="FS14" s="496"/>
      <c r="FT14" s="496"/>
      <c r="FU14" s="496"/>
      <c r="FV14" s="496"/>
      <c r="FW14" s="496"/>
      <c r="FX14" s="496"/>
      <c r="FY14" s="496"/>
      <c r="FZ14" s="496"/>
      <c r="GA14" s="496"/>
      <c r="GB14" s="496"/>
      <c r="GC14" s="496"/>
      <c r="GD14" s="496"/>
      <c r="GE14" s="496"/>
      <c r="GF14" s="496"/>
      <c r="GG14" s="496"/>
      <c r="GH14" s="496"/>
      <c r="GI14" s="496"/>
      <c r="GJ14" s="496"/>
      <c r="GK14" s="496"/>
      <c r="GL14" s="496"/>
      <c r="GM14" s="496"/>
      <c r="GN14" s="496"/>
      <c r="GO14" s="496"/>
      <c r="GP14" s="496"/>
      <c r="GQ14" s="496"/>
      <c r="GR14" s="496"/>
      <c r="GS14" s="496"/>
      <c r="GT14" s="496"/>
      <c r="GU14" s="496"/>
      <c r="GV14" s="496"/>
      <c r="GW14" s="496"/>
      <c r="GX14" s="496"/>
      <c r="GY14" s="496"/>
      <c r="GZ14" s="496"/>
      <c r="HA14" s="496"/>
      <c r="HB14" s="496"/>
      <c r="HC14" s="496"/>
      <c r="HD14" s="496"/>
      <c r="HE14" s="496"/>
      <c r="HF14" s="496"/>
      <c r="HG14" s="496"/>
      <c r="HH14" s="496"/>
      <c r="HI14" s="496"/>
      <c r="HJ14" s="496"/>
      <c r="HK14" s="496"/>
      <c r="HL14" s="496"/>
      <c r="HM14" s="496"/>
      <c r="HN14" s="496"/>
      <c r="HO14" s="496"/>
      <c r="HP14" s="496"/>
      <c r="HQ14" s="496"/>
      <c r="HR14" s="496"/>
      <c r="HS14" s="496"/>
      <c r="HT14" s="496"/>
      <c r="HU14" s="496"/>
      <c r="HV14" s="496"/>
      <c r="HW14" s="496"/>
      <c r="HX14" s="496"/>
      <c r="HY14" s="496"/>
    </row>
    <row r="15" spans="1:233" s="490" customFormat="1">
      <c r="B15" s="491"/>
      <c r="C15" s="491"/>
      <c r="D15" s="497"/>
      <c r="E15" t="s">
        <v>372</v>
      </c>
      <c r="F15" s="493" t="str">
        <f ca="1">_xll.PALO.DATAC("jedoxtest/EU_PM_CUBE02","#_Staatengruppen_und_NUTS","Langbezeichnung",$E15)</f>
        <v>Uganda</v>
      </c>
      <c r="G15" s="494">
        <f ca="1">_xll.PALO.DATAC("jedoxtest/EU_PM_CUBE02","EUPM_Mittel2_Cube",$D$3,"Alle Beteiligungen","Alle Koordinatoren","Alle Unternehmensgrößen","-2","Alle Organisationstypen",28,"Alle Expertevaluierungsstatus","-2","-2",$E15,"-2","Alle","-2",G$4)</f>
        <v>124</v>
      </c>
      <c r="H15" s="494">
        <f ca="1">_xll.PALO.DATAC("jedoxtest/EU_PM_CUBE02","EUPM_Mittel2_Cube",$D$3,"Alle Beteiligungen","Alle Koordinatoren","Alle Unternehmensgrößen","-2","Alle Organisationstypen",28,"Alle Expertevaluierungsstatus","-2","-2",$E15,"-2","Alle","-2",H$4)</f>
        <v>53911929.979999997</v>
      </c>
      <c r="I15" s="495">
        <f t="shared" ca="1" si="0"/>
        <v>9.0246795874848068E-4</v>
      </c>
      <c r="J15" s="495">
        <f t="shared" ca="1" si="1"/>
        <v>9.2479661556428962E-4</v>
      </c>
      <c r="K15" s="508"/>
      <c r="L15" s="488">
        <f ca="1">_xll.PALO.DATAC("jedoxtest/EU_PM_CUBE02","EUPM_Mittel2_Cube",$D$3,"Alle Beteiligungen","Alle Koordinatoren","Alle Unternehmensgrößen","-2","Alle Organisationstypen",28,"Alle Expertevaluierungsstatus","-2","-2",$E15,"-2","Alle","-2",L$4)</f>
        <v>124</v>
      </c>
      <c r="M15" s="488">
        <f ca="1">_xll.PALO.DATAC("jedoxtest/EU_PM_CUBE02","EUPM_Mittel2_Cube",$D$3,"Alle Beteiligungen","Alle Koordinatoren","Alle Unternehmensgrößen","-2","Alle Organisationstypen",28,"Alle Expertevaluierungsstatus","-2","-2",$E15,"-2","Alle","-2",M$4)</f>
        <v>53911929.979999997</v>
      </c>
      <c r="N15" s="488">
        <f ca="1">_xll.PALO.DATAC("jedoxtest/EU_PM_CUBE02","EUPM_Mittel2_Cube",$D$3,"Alle Beteiligungen","Alle Koordinatoren","Alle Unternehmensgrößen","-2","Alle Organisationstypen",28,"Alle Expertevaluierungsstatus","-2","-2",$E15,"-2","Alle","-2",N$4)</f>
        <v>0</v>
      </c>
      <c r="O15" s="489">
        <f t="shared" ca="1" si="2"/>
        <v>9.0246795874848068E-4</v>
      </c>
      <c r="P15" s="489">
        <f t="shared" ca="1" si="3"/>
        <v>9.2479661556428962E-4</v>
      </c>
      <c r="Q15" s="489">
        <f t="shared" ca="1" si="4"/>
        <v>0</v>
      </c>
      <c r="R15" s="496"/>
      <c r="S15" s="496"/>
      <c r="T15" s="496"/>
      <c r="U15" s="496"/>
      <c r="V15" s="496"/>
      <c r="W15" s="496"/>
      <c r="X15" s="496"/>
      <c r="Y15" s="496"/>
      <c r="Z15" s="496"/>
      <c r="AA15" s="496"/>
      <c r="AB15" s="496"/>
      <c r="AC15" s="496"/>
      <c r="AD15" s="496"/>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6"/>
      <c r="BB15" s="496"/>
      <c r="BC15" s="496"/>
      <c r="BD15" s="496"/>
      <c r="BE15" s="496"/>
      <c r="BF15" s="496"/>
      <c r="BG15" s="496"/>
      <c r="BH15" s="496"/>
      <c r="BI15" s="496"/>
      <c r="BJ15" s="496"/>
      <c r="BK15" s="496"/>
      <c r="BL15" s="496"/>
      <c r="BM15" s="496"/>
      <c r="BN15" s="496"/>
      <c r="BO15" s="496"/>
      <c r="BP15" s="496"/>
      <c r="BQ15" s="496"/>
      <c r="BR15" s="496"/>
      <c r="BS15" s="496"/>
      <c r="BT15" s="496"/>
      <c r="BU15" s="496"/>
      <c r="BV15" s="496"/>
      <c r="BW15" s="496"/>
      <c r="BX15" s="496"/>
      <c r="BY15" s="496"/>
      <c r="BZ15" s="496"/>
      <c r="CA15" s="496"/>
      <c r="CB15" s="496"/>
      <c r="CC15" s="496"/>
      <c r="CD15" s="496"/>
      <c r="CE15" s="496"/>
      <c r="CF15" s="496"/>
      <c r="CG15" s="496"/>
      <c r="CH15" s="496"/>
      <c r="CI15" s="496"/>
      <c r="CJ15" s="496"/>
      <c r="CK15" s="496"/>
      <c r="CL15" s="496"/>
      <c r="CM15" s="496"/>
      <c r="CN15" s="496"/>
      <c r="CO15" s="496"/>
      <c r="CP15" s="496"/>
      <c r="CQ15" s="496"/>
      <c r="CR15" s="496"/>
      <c r="CS15" s="496"/>
      <c r="CT15" s="496"/>
      <c r="CU15" s="496"/>
      <c r="CV15" s="496"/>
      <c r="CW15" s="496"/>
      <c r="CX15" s="496"/>
      <c r="CY15" s="496"/>
      <c r="CZ15" s="496"/>
      <c r="DA15" s="496"/>
      <c r="DB15" s="496"/>
      <c r="DC15" s="496"/>
      <c r="DD15" s="496"/>
      <c r="DE15" s="496"/>
      <c r="DF15" s="496"/>
      <c r="DG15" s="496"/>
      <c r="DH15" s="496"/>
      <c r="DI15" s="496"/>
      <c r="DJ15" s="496"/>
      <c r="DK15" s="496"/>
      <c r="DL15" s="496"/>
      <c r="DM15" s="496"/>
      <c r="DN15" s="496"/>
      <c r="DO15" s="496"/>
      <c r="DP15" s="496"/>
      <c r="DQ15" s="496"/>
      <c r="DR15" s="496"/>
      <c r="DS15" s="496"/>
      <c r="DT15" s="496"/>
      <c r="DU15" s="496"/>
      <c r="DV15" s="496"/>
      <c r="DW15" s="496"/>
      <c r="DX15" s="496"/>
      <c r="DY15" s="496"/>
      <c r="DZ15" s="496"/>
      <c r="EA15" s="496"/>
      <c r="EB15" s="496"/>
      <c r="EC15" s="496"/>
      <c r="ED15" s="496"/>
      <c r="EE15" s="496"/>
      <c r="EF15" s="496"/>
      <c r="EG15" s="496"/>
      <c r="EH15" s="496"/>
      <c r="EI15" s="496"/>
      <c r="EJ15" s="496"/>
      <c r="EK15" s="496"/>
      <c r="EL15" s="496"/>
      <c r="EM15" s="496"/>
      <c r="EN15" s="496"/>
      <c r="EO15" s="496"/>
      <c r="EP15" s="496"/>
      <c r="EQ15" s="496"/>
      <c r="ER15" s="496"/>
      <c r="ES15" s="496"/>
      <c r="ET15" s="496"/>
      <c r="EU15" s="496"/>
      <c r="EV15" s="496"/>
      <c r="EW15" s="496"/>
      <c r="EX15" s="496"/>
      <c r="EY15" s="496"/>
      <c r="EZ15" s="496"/>
      <c r="FA15" s="496"/>
      <c r="FB15" s="496"/>
      <c r="FC15" s="496"/>
      <c r="FD15" s="496"/>
      <c r="FE15" s="496"/>
      <c r="FF15" s="496"/>
      <c r="FG15" s="496"/>
      <c r="FH15" s="496"/>
      <c r="FI15" s="496"/>
      <c r="FJ15" s="496"/>
      <c r="FK15" s="496"/>
      <c r="FL15" s="496"/>
      <c r="FM15" s="496"/>
      <c r="FN15" s="496"/>
      <c r="FO15" s="496"/>
      <c r="FP15" s="496"/>
      <c r="FQ15" s="496"/>
      <c r="FR15" s="496"/>
      <c r="FS15" s="496"/>
      <c r="FT15" s="496"/>
      <c r="FU15" s="496"/>
      <c r="FV15" s="496"/>
      <c r="FW15" s="496"/>
      <c r="FX15" s="496"/>
      <c r="FY15" s="496"/>
      <c r="FZ15" s="496"/>
      <c r="GA15" s="496"/>
      <c r="GB15" s="496"/>
      <c r="GC15" s="496"/>
      <c r="GD15" s="496"/>
      <c r="GE15" s="496"/>
      <c r="GF15" s="496"/>
      <c r="GG15" s="496"/>
      <c r="GH15" s="496"/>
      <c r="GI15" s="496"/>
      <c r="GJ15" s="496"/>
      <c r="GK15" s="496"/>
      <c r="GL15" s="496"/>
      <c r="GM15" s="496"/>
      <c r="GN15" s="496"/>
      <c r="GO15" s="496"/>
      <c r="GP15" s="496"/>
      <c r="GQ15" s="496"/>
      <c r="GR15" s="496"/>
      <c r="GS15" s="496"/>
      <c r="GT15" s="496"/>
      <c r="GU15" s="496"/>
      <c r="GV15" s="496"/>
      <c r="GW15" s="496"/>
      <c r="GX15" s="496"/>
      <c r="GY15" s="496"/>
      <c r="GZ15" s="496"/>
      <c r="HA15" s="496"/>
      <c r="HB15" s="496"/>
      <c r="HC15" s="496"/>
      <c r="HD15" s="496"/>
      <c r="HE15" s="496"/>
      <c r="HF15" s="496"/>
      <c r="HG15" s="496"/>
      <c r="HH15" s="496"/>
      <c r="HI15" s="496"/>
      <c r="HJ15" s="496"/>
      <c r="HK15" s="496"/>
      <c r="HL15" s="496"/>
      <c r="HM15" s="496"/>
      <c r="HN15" s="496"/>
      <c r="HO15" s="496"/>
      <c r="HP15" s="496"/>
      <c r="HQ15" s="496"/>
      <c r="HR15" s="496"/>
      <c r="HS15" s="496"/>
      <c r="HT15" s="496"/>
      <c r="HU15" s="496"/>
      <c r="HV15" s="496"/>
      <c r="HW15" s="496"/>
      <c r="HX15" s="496"/>
      <c r="HY15" s="496"/>
    </row>
    <row r="16" spans="1:233" s="490" customFormat="1">
      <c r="B16" s="491"/>
      <c r="C16" s="491"/>
      <c r="D16" s="492"/>
      <c r="E16" t="s">
        <v>375</v>
      </c>
      <c r="F16" s="493" t="str">
        <f ca="1">_xll.PALO.DATAC("jedoxtest/EU_PM_CUBE02","#_Staatengruppen_und_NUTS","Langbezeichnung",$E16)</f>
        <v>India</v>
      </c>
      <c r="G16" s="494">
        <f ca="1">_xll.PALO.DATAC("jedoxtest/EU_PM_CUBE02","EUPM_Mittel2_Cube",$D$3,"Alle Beteiligungen","Alle Koordinatoren","Alle Unternehmensgrößen","-2","Alle Organisationstypen",28,"Alle Expertevaluierungsstatus","-2","-2",$E16,"-2","Alle","-2",G$4)</f>
        <v>120</v>
      </c>
      <c r="H16" s="494">
        <f ca="1">_xll.PALO.DATAC("jedoxtest/EU_PM_CUBE02","EUPM_Mittel2_Cube",$D$3,"Alle Beteiligungen","Alle Koordinatoren","Alle Unternehmensgrößen","-2","Alle Organisationstypen",28,"Alle Expertevaluierungsstatus","-2","-2",$E16,"-2","Alle","-2",H$4)</f>
        <v>2409548.2999999998</v>
      </c>
      <c r="I16" s="495">
        <f t="shared" ca="1" si="0"/>
        <v>8.733560891114329E-4</v>
      </c>
      <c r="J16" s="495">
        <f t="shared" ca="1" si="1"/>
        <v>4.1333005768952209E-5</v>
      </c>
      <c r="K16" s="508"/>
      <c r="L16" s="488">
        <f ca="1">_xll.PALO.DATAC("jedoxtest/EU_PM_CUBE02","EUPM_Mittel2_Cube",$D$3,"Alle Beteiligungen","Alle Koordinatoren","Alle Unternehmensgrößen","-2","Alle Organisationstypen",28,"Alle Expertevaluierungsstatus","-2","-2",$E16,"-2","Alle","-2",L$4)</f>
        <v>120</v>
      </c>
      <c r="M16" s="488">
        <f ca="1">_xll.PALO.DATAC("jedoxtest/EU_PM_CUBE02","EUPM_Mittel2_Cube",$D$3,"Alle Beteiligungen","Alle Koordinatoren","Alle Unternehmensgrößen","-2","Alle Organisationstypen",28,"Alle Expertevaluierungsstatus","-2","-2",$E16,"-2","Alle","-2",M$4)</f>
        <v>2409548.2999999998</v>
      </c>
      <c r="N16" s="488">
        <f ca="1">_xll.PALO.DATAC("jedoxtest/EU_PM_CUBE02","EUPM_Mittel2_Cube",$D$3,"Alle Beteiligungen","Alle Koordinatoren","Alle Unternehmensgrößen","-2","Alle Organisationstypen",28,"Alle Expertevaluierungsstatus","-2","-2",$E16,"-2","Alle","-2",N$4)</f>
        <v>0</v>
      </c>
      <c r="O16" s="489">
        <f t="shared" ca="1" si="2"/>
        <v>8.733560891114329E-4</v>
      </c>
      <c r="P16" s="489">
        <f t="shared" ca="1" si="3"/>
        <v>4.1333005768952209E-5</v>
      </c>
      <c r="Q16" s="489">
        <f t="shared" ca="1" si="4"/>
        <v>0</v>
      </c>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6"/>
      <c r="BB16" s="496"/>
      <c r="BC16" s="496"/>
      <c r="BD16" s="496"/>
      <c r="BE16" s="496"/>
      <c r="BF16" s="496"/>
      <c r="BG16" s="496"/>
      <c r="BH16" s="496"/>
      <c r="BI16" s="496"/>
      <c r="BJ16" s="496"/>
      <c r="BK16" s="496"/>
      <c r="BL16" s="496"/>
      <c r="BM16" s="496"/>
      <c r="BN16" s="496"/>
      <c r="BO16" s="496"/>
      <c r="BP16" s="496"/>
      <c r="BQ16" s="496"/>
      <c r="BR16" s="496"/>
      <c r="BS16" s="496"/>
      <c r="BT16" s="496"/>
      <c r="BU16" s="496"/>
      <c r="BV16" s="496"/>
      <c r="BW16" s="496"/>
      <c r="BX16" s="496"/>
      <c r="BY16" s="496"/>
      <c r="BZ16" s="496"/>
      <c r="CA16" s="496"/>
      <c r="CB16" s="496"/>
      <c r="CC16" s="496"/>
      <c r="CD16" s="496"/>
      <c r="CE16" s="496"/>
      <c r="CF16" s="496"/>
      <c r="CG16" s="496"/>
      <c r="CH16" s="496"/>
      <c r="CI16" s="496"/>
      <c r="CJ16" s="496"/>
      <c r="CK16" s="496"/>
      <c r="CL16" s="496"/>
      <c r="CM16" s="496"/>
      <c r="CN16" s="496"/>
      <c r="CO16" s="496"/>
      <c r="CP16" s="496"/>
      <c r="CQ16" s="496"/>
      <c r="CR16" s="496"/>
      <c r="CS16" s="496"/>
      <c r="CT16" s="496"/>
      <c r="CU16" s="496"/>
      <c r="CV16" s="496"/>
      <c r="CW16" s="496"/>
      <c r="CX16" s="496"/>
      <c r="CY16" s="496"/>
      <c r="CZ16" s="496"/>
      <c r="DA16" s="496"/>
      <c r="DB16" s="496"/>
      <c r="DC16" s="496"/>
      <c r="DD16" s="496"/>
      <c r="DE16" s="496"/>
      <c r="DF16" s="496"/>
      <c r="DG16" s="496"/>
      <c r="DH16" s="496"/>
      <c r="DI16" s="496"/>
      <c r="DJ16" s="496"/>
      <c r="DK16" s="496"/>
      <c r="DL16" s="496"/>
      <c r="DM16" s="496"/>
      <c r="DN16" s="496"/>
      <c r="DO16" s="496"/>
      <c r="DP16" s="496"/>
      <c r="DQ16" s="496"/>
      <c r="DR16" s="496"/>
      <c r="DS16" s="496"/>
      <c r="DT16" s="496"/>
      <c r="DU16" s="496"/>
      <c r="DV16" s="496"/>
      <c r="DW16" s="496"/>
      <c r="DX16" s="496"/>
      <c r="DY16" s="496"/>
      <c r="DZ16" s="496"/>
      <c r="EA16" s="496"/>
      <c r="EB16" s="496"/>
      <c r="EC16" s="496"/>
      <c r="ED16" s="496"/>
      <c r="EE16" s="496"/>
      <c r="EF16" s="496"/>
      <c r="EG16" s="496"/>
      <c r="EH16" s="496"/>
      <c r="EI16" s="496"/>
      <c r="EJ16" s="496"/>
      <c r="EK16" s="496"/>
      <c r="EL16" s="496"/>
      <c r="EM16" s="496"/>
      <c r="EN16" s="496"/>
      <c r="EO16" s="496"/>
      <c r="EP16" s="496"/>
      <c r="EQ16" s="496"/>
      <c r="ER16" s="496"/>
      <c r="ES16" s="496"/>
      <c r="ET16" s="496"/>
      <c r="EU16" s="496"/>
      <c r="EV16" s="496"/>
      <c r="EW16" s="496"/>
      <c r="EX16" s="496"/>
      <c r="EY16" s="496"/>
      <c r="EZ16" s="496"/>
      <c r="FA16" s="496"/>
      <c r="FB16" s="496"/>
      <c r="FC16" s="496"/>
      <c r="FD16" s="496"/>
      <c r="FE16" s="496"/>
      <c r="FF16" s="496"/>
      <c r="FG16" s="496"/>
      <c r="FH16" s="496"/>
      <c r="FI16" s="496"/>
      <c r="FJ16" s="496"/>
      <c r="FK16" s="496"/>
      <c r="FL16" s="496"/>
      <c r="FM16" s="496"/>
      <c r="FN16" s="496"/>
      <c r="FO16" s="496"/>
      <c r="FP16" s="496"/>
      <c r="FQ16" s="496"/>
      <c r="FR16" s="496"/>
      <c r="FS16" s="496"/>
      <c r="FT16" s="496"/>
      <c r="FU16" s="496"/>
      <c r="FV16" s="496"/>
      <c r="FW16" s="496"/>
      <c r="FX16" s="496"/>
      <c r="FY16" s="496"/>
      <c r="FZ16" s="496"/>
      <c r="GA16" s="496"/>
      <c r="GB16" s="496"/>
      <c r="GC16" s="496"/>
      <c r="GD16" s="496"/>
      <c r="GE16" s="496"/>
      <c r="GF16" s="496"/>
      <c r="GG16" s="496"/>
      <c r="GH16" s="496"/>
      <c r="GI16" s="496"/>
      <c r="GJ16" s="496"/>
      <c r="GK16" s="496"/>
      <c r="GL16" s="496"/>
      <c r="GM16" s="496"/>
      <c r="GN16" s="496"/>
      <c r="GO16" s="496"/>
      <c r="GP16" s="496"/>
      <c r="GQ16" s="496"/>
      <c r="GR16" s="496"/>
      <c r="GS16" s="496"/>
      <c r="GT16" s="496"/>
      <c r="GU16" s="496"/>
      <c r="GV16" s="496"/>
      <c r="GW16" s="496"/>
      <c r="GX16" s="496"/>
      <c r="GY16" s="496"/>
      <c r="GZ16" s="496"/>
      <c r="HA16" s="496"/>
      <c r="HB16" s="496"/>
      <c r="HC16" s="496"/>
      <c r="HD16" s="496"/>
      <c r="HE16" s="496"/>
      <c r="HF16" s="496"/>
      <c r="HG16" s="496"/>
      <c r="HH16" s="496"/>
      <c r="HI16" s="496"/>
      <c r="HJ16" s="496"/>
      <c r="HK16" s="496"/>
      <c r="HL16" s="496"/>
      <c r="HM16" s="496"/>
      <c r="HN16" s="496"/>
      <c r="HO16" s="496"/>
      <c r="HP16" s="496"/>
      <c r="HQ16" s="496"/>
      <c r="HR16" s="496"/>
      <c r="HS16" s="496"/>
      <c r="HT16" s="496"/>
      <c r="HU16" s="496"/>
      <c r="HV16" s="496"/>
      <c r="HW16" s="496"/>
      <c r="HX16" s="496"/>
      <c r="HY16" s="496"/>
    </row>
    <row r="17" spans="2:233" s="490" customFormat="1">
      <c r="B17" s="491"/>
      <c r="C17" s="491"/>
      <c r="D17" s="492"/>
      <c r="E17" t="s">
        <v>378</v>
      </c>
      <c r="F17" s="493" t="str">
        <f ca="1">_xll.PALO.DATAC("jedoxtest/EU_PM_CUBE02","#_Staatengruppen_und_NUTS","Langbezeichnung",$E17)</f>
        <v>Colombia</v>
      </c>
      <c r="G17" s="494">
        <f ca="1">_xll.PALO.DATAC("jedoxtest/EU_PM_CUBE02","EUPM_Mittel2_Cube",$D$3,"Alle Beteiligungen","Alle Koordinatoren","Alle Unternehmensgrößen","-2","Alle Organisationstypen",28,"Alle Expertevaluierungsstatus","-2","-2",$E17,"-2","Alle","-2",G$4)</f>
        <v>110</v>
      </c>
      <c r="H17" s="494">
        <f ca="1">_xll.PALO.DATAC("jedoxtest/EU_PM_CUBE02","EUPM_Mittel2_Cube",$D$3,"Alle Beteiligungen","Alle Koordinatoren","Alle Unternehmensgrößen","-2","Alle Organisationstypen",28,"Alle Expertevaluierungsstatus","-2","-2",$E17,"-2","Alle","-2",H$4)</f>
        <v>7949067</v>
      </c>
      <c r="I17" s="495">
        <f t="shared" ca="1" si="0"/>
        <v>8.0057641501881359E-4</v>
      </c>
      <c r="J17" s="495">
        <f t="shared" ca="1" si="1"/>
        <v>1.3635702267050952E-4</v>
      </c>
      <c r="K17" s="508"/>
      <c r="L17" s="488">
        <f ca="1">_xll.PALO.DATAC("jedoxtest/EU_PM_CUBE02","EUPM_Mittel2_Cube",$D$3,"Alle Beteiligungen","Alle Koordinatoren","Alle Unternehmensgrößen","-2","Alle Organisationstypen",28,"Alle Expertevaluierungsstatus","-2","-2",$E17,"-2","Alle","-2",L$4)</f>
        <v>110</v>
      </c>
      <c r="M17" s="488">
        <f ca="1">_xll.PALO.DATAC("jedoxtest/EU_PM_CUBE02","EUPM_Mittel2_Cube",$D$3,"Alle Beteiligungen","Alle Koordinatoren","Alle Unternehmensgrößen","-2","Alle Organisationstypen",28,"Alle Expertevaluierungsstatus","-2","-2",$E17,"-2","Alle","-2",M$4)</f>
        <v>7949067</v>
      </c>
      <c r="N17" s="488">
        <f ca="1">_xll.PALO.DATAC("jedoxtest/EU_PM_CUBE02","EUPM_Mittel2_Cube",$D$3,"Alle Beteiligungen","Alle Koordinatoren","Alle Unternehmensgrößen","-2","Alle Organisationstypen",28,"Alle Expertevaluierungsstatus","-2","-2",$E17,"-2","Alle","-2",N$4)</f>
        <v>0</v>
      </c>
      <c r="O17" s="489">
        <f t="shared" ca="1" si="2"/>
        <v>8.0057641501881359E-4</v>
      </c>
      <c r="P17" s="489">
        <f t="shared" ca="1" si="3"/>
        <v>1.3635702267050952E-4</v>
      </c>
      <c r="Q17" s="489">
        <f t="shared" ca="1" si="4"/>
        <v>0</v>
      </c>
      <c r="R17" s="496"/>
      <c r="S17" s="496"/>
      <c r="T17" s="496"/>
      <c r="U17" s="496"/>
      <c r="V17" s="496"/>
      <c r="W17" s="496"/>
      <c r="X17" s="496"/>
      <c r="Y17" s="496"/>
      <c r="Z17" s="496"/>
      <c r="AA17" s="496"/>
      <c r="AB17" s="496"/>
      <c r="AC17" s="496"/>
      <c r="AD17" s="496"/>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6"/>
      <c r="BB17" s="496"/>
      <c r="BC17" s="496"/>
      <c r="BD17" s="496"/>
      <c r="BE17" s="496"/>
      <c r="BF17" s="496"/>
      <c r="BG17" s="496"/>
      <c r="BH17" s="496"/>
      <c r="BI17" s="496"/>
      <c r="BJ17" s="496"/>
      <c r="BK17" s="496"/>
      <c r="BL17" s="496"/>
      <c r="BM17" s="496"/>
      <c r="BN17" s="496"/>
      <c r="BO17" s="496"/>
      <c r="BP17" s="496"/>
      <c r="BQ17" s="496"/>
      <c r="BR17" s="496"/>
      <c r="BS17" s="496"/>
      <c r="BT17" s="496"/>
      <c r="BU17" s="496"/>
      <c r="BV17" s="496"/>
      <c r="BW17" s="496"/>
      <c r="BX17" s="496"/>
      <c r="BY17" s="496"/>
      <c r="BZ17" s="496"/>
      <c r="CA17" s="496"/>
      <c r="CB17" s="496"/>
      <c r="CC17" s="496"/>
      <c r="CD17" s="496"/>
      <c r="CE17" s="496"/>
      <c r="CF17" s="496"/>
      <c r="CG17" s="496"/>
      <c r="CH17" s="496"/>
      <c r="CI17" s="496"/>
      <c r="CJ17" s="496"/>
      <c r="CK17" s="496"/>
      <c r="CL17" s="496"/>
      <c r="CM17" s="496"/>
      <c r="CN17" s="496"/>
      <c r="CO17" s="496"/>
      <c r="CP17" s="496"/>
      <c r="CQ17" s="496"/>
      <c r="CR17" s="496"/>
      <c r="CS17" s="496"/>
      <c r="CT17" s="496"/>
      <c r="CU17" s="496"/>
      <c r="CV17" s="496"/>
      <c r="CW17" s="496"/>
      <c r="CX17" s="496"/>
      <c r="CY17" s="496"/>
      <c r="CZ17" s="496"/>
      <c r="DA17" s="496"/>
      <c r="DB17" s="496"/>
      <c r="DC17" s="496"/>
      <c r="DD17" s="496"/>
      <c r="DE17" s="496"/>
      <c r="DF17" s="496"/>
      <c r="DG17" s="496"/>
      <c r="DH17" s="496"/>
      <c r="DI17" s="496"/>
      <c r="DJ17" s="496"/>
      <c r="DK17" s="496"/>
      <c r="DL17" s="496"/>
      <c r="DM17" s="496"/>
      <c r="DN17" s="496"/>
      <c r="DO17" s="496"/>
      <c r="DP17" s="496"/>
      <c r="DQ17" s="496"/>
      <c r="DR17" s="496"/>
      <c r="DS17" s="496"/>
      <c r="DT17" s="496"/>
      <c r="DU17" s="496"/>
      <c r="DV17" s="496"/>
      <c r="DW17" s="496"/>
      <c r="DX17" s="496"/>
      <c r="DY17" s="496"/>
      <c r="DZ17" s="496"/>
      <c r="EA17" s="496"/>
      <c r="EB17" s="496"/>
      <c r="EC17" s="496"/>
      <c r="ED17" s="496"/>
      <c r="EE17" s="496"/>
      <c r="EF17" s="496"/>
      <c r="EG17" s="496"/>
      <c r="EH17" s="496"/>
      <c r="EI17" s="496"/>
      <c r="EJ17" s="496"/>
      <c r="EK17" s="496"/>
      <c r="EL17" s="496"/>
      <c r="EM17" s="496"/>
      <c r="EN17" s="496"/>
      <c r="EO17" s="496"/>
      <c r="EP17" s="496"/>
      <c r="EQ17" s="496"/>
      <c r="ER17" s="496"/>
      <c r="ES17" s="496"/>
      <c r="ET17" s="496"/>
      <c r="EU17" s="496"/>
      <c r="EV17" s="496"/>
      <c r="EW17" s="496"/>
      <c r="EX17" s="496"/>
      <c r="EY17" s="496"/>
      <c r="EZ17" s="496"/>
      <c r="FA17" s="496"/>
      <c r="FB17" s="496"/>
      <c r="FC17" s="496"/>
      <c r="FD17" s="496"/>
      <c r="FE17" s="496"/>
      <c r="FF17" s="496"/>
      <c r="FG17" s="496"/>
      <c r="FH17" s="496"/>
      <c r="FI17" s="496"/>
      <c r="FJ17" s="496"/>
      <c r="FK17" s="496"/>
      <c r="FL17" s="496"/>
      <c r="FM17" s="496"/>
      <c r="FN17" s="496"/>
      <c r="FO17" s="496"/>
      <c r="FP17" s="496"/>
      <c r="FQ17" s="496"/>
      <c r="FR17" s="496"/>
      <c r="FS17" s="496"/>
      <c r="FT17" s="496"/>
      <c r="FU17" s="496"/>
      <c r="FV17" s="496"/>
      <c r="FW17" s="496"/>
      <c r="FX17" s="496"/>
      <c r="FY17" s="496"/>
      <c r="FZ17" s="496"/>
      <c r="GA17" s="496"/>
      <c r="GB17" s="496"/>
      <c r="GC17" s="496"/>
      <c r="GD17" s="496"/>
      <c r="GE17" s="496"/>
      <c r="GF17" s="496"/>
      <c r="GG17" s="496"/>
      <c r="GH17" s="496"/>
      <c r="GI17" s="496"/>
      <c r="GJ17" s="496"/>
      <c r="GK17" s="496"/>
      <c r="GL17" s="496"/>
      <c r="GM17" s="496"/>
      <c r="GN17" s="496"/>
      <c r="GO17" s="496"/>
      <c r="GP17" s="496"/>
      <c r="GQ17" s="496"/>
      <c r="GR17" s="496"/>
      <c r="GS17" s="496"/>
      <c r="GT17" s="496"/>
      <c r="GU17" s="496"/>
      <c r="GV17" s="496"/>
      <c r="GW17" s="496"/>
      <c r="GX17" s="496"/>
      <c r="GY17" s="496"/>
      <c r="GZ17" s="496"/>
      <c r="HA17" s="496"/>
      <c r="HB17" s="496"/>
      <c r="HC17" s="496"/>
      <c r="HD17" s="496"/>
      <c r="HE17" s="496"/>
      <c r="HF17" s="496"/>
      <c r="HG17" s="496"/>
      <c r="HH17" s="496"/>
      <c r="HI17" s="496"/>
      <c r="HJ17" s="496"/>
      <c r="HK17" s="496"/>
      <c r="HL17" s="496"/>
      <c r="HM17" s="496"/>
      <c r="HN17" s="496"/>
      <c r="HO17" s="496"/>
      <c r="HP17" s="496"/>
      <c r="HQ17" s="496"/>
      <c r="HR17" s="496"/>
      <c r="HS17" s="496"/>
      <c r="HT17" s="496"/>
      <c r="HU17" s="496"/>
      <c r="HV17" s="496"/>
      <c r="HW17" s="496"/>
      <c r="HX17" s="496"/>
      <c r="HY17" s="496"/>
    </row>
    <row r="18" spans="2:233" s="498" customFormat="1">
      <c r="B18" s="499"/>
      <c r="C18" s="499"/>
      <c r="D18" s="500"/>
      <c r="E18" t="s">
        <v>373</v>
      </c>
      <c r="F18" s="493" t="str">
        <f ca="1">_xll.PALO.DATAC("jedoxtest/EU_PM_CUBE02","#_Staatengruppen_und_NUTS","Langbezeichnung",$E18)</f>
        <v>Ghana</v>
      </c>
      <c r="G18" s="494">
        <f ca="1">_xll.PALO.DATAC("jedoxtest/EU_PM_CUBE02","EUPM_Mittel2_Cube",$D$3,"Alle Beteiligungen","Alle Koordinatoren","Alle Unternehmensgrößen","-2","Alle Organisationstypen",28,"Alle Expertevaluierungsstatus","-2","-2",$E18,"-2","Alle","-2",G$4)</f>
        <v>91</v>
      </c>
      <c r="H18" s="494">
        <f ca="1">_xll.PALO.DATAC("jedoxtest/EU_PM_CUBE02","EUPM_Mittel2_Cube",$D$3,"Alle Beteiligungen","Alle Koordinatoren","Alle Unternehmensgrößen","-2","Alle Organisationstypen",28,"Alle Expertevaluierungsstatus","-2","-2",$E18,"-2","Alle","-2",H$4)</f>
        <v>31063867.879999999</v>
      </c>
      <c r="I18" s="495">
        <f t="shared" ca="1" si="0"/>
        <v>6.6229503424283668E-4</v>
      </c>
      <c r="J18" s="495">
        <f t="shared" ca="1" si="1"/>
        <v>5.32864616280989E-4</v>
      </c>
      <c r="K18" s="508"/>
      <c r="L18" s="488">
        <f ca="1">_xll.PALO.DATAC("jedoxtest/EU_PM_CUBE02","EUPM_Mittel2_Cube",$D$3,"Alle Beteiligungen","Alle Koordinatoren","Alle Unternehmensgrößen","-2","Alle Organisationstypen",28,"Alle Expertevaluierungsstatus","-2","-2",$E18,"-2","Alle","-2",L$4)</f>
        <v>91</v>
      </c>
      <c r="M18" s="488">
        <f ca="1">_xll.PALO.DATAC("jedoxtest/EU_PM_CUBE02","EUPM_Mittel2_Cube",$D$3,"Alle Beteiligungen","Alle Koordinatoren","Alle Unternehmensgrößen","-2","Alle Organisationstypen",28,"Alle Expertevaluierungsstatus","-2","-2",$E18,"-2","Alle","-2",M$4)</f>
        <v>31063867.879999999</v>
      </c>
      <c r="N18" s="488">
        <f ca="1">_xll.PALO.DATAC("jedoxtest/EU_PM_CUBE02","EUPM_Mittel2_Cube",$D$3,"Alle Beteiligungen","Alle Koordinatoren","Alle Unternehmensgrößen","-2","Alle Organisationstypen",28,"Alle Expertevaluierungsstatus","-2","-2",$E18,"-2","Alle","-2",N$4)</f>
        <v>3</v>
      </c>
      <c r="O18" s="489">
        <f t="shared" ca="1" si="2"/>
        <v>6.6229503424283668E-4</v>
      </c>
      <c r="P18" s="489">
        <f t="shared" ca="1" si="3"/>
        <v>5.32864616280989E-4</v>
      </c>
      <c r="Q18" s="489">
        <f t="shared" ca="1" si="4"/>
        <v>1.2835871983570083E-4</v>
      </c>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1"/>
      <c r="AW18" s="501"/>
      <c r="AX18" s="501"/>
      <c r="AY18" s="501"/>
      <c r="AZ18" s="501"/>
      <c r="BA18" s="501"/>
      <c r="BB18" s="501"/>
      <c r="BC18" s="501"/>
      <c r="BD18" s="501"/>
      <c r="BE18" s="501"/>
      <c r="BF18" s="501"/>
      <c r="BG18" s="501"/>
      <c r="BH18" s="501"/>
      <c r="BI18" s="501"/>
      <c r="BJ18" s="501"/>
      <c r="BK18" s="501"/>
      <c r="BL18" s="501"/>
      <c r="BM18" s="501"/>
      <c r="BN18" s="501"/>
      <c r="BO18" s="501"/>
      <c r="BP18" s="501"/>
      <c r="BQ18" s="501"/>
      <c r="BR18" s="501"/>
      <c r="BS18" s="501"/>
      <c r="BT18" s="501"/>
      <c r="BU18" s="501"/>
      <c r="BV18" s="501"/>
      <c r="BW18" s="501"/>
      <c r="BX18" s="501"/>
      <c r="BY18" s="501"/>
      <c r="BZ18" s="501"/>
      <c r="CA18" s="501"/>
      <c r="CB18" s="501"/>
      <c r="CC18" s="501"/>
      <c r="CD18" s="501"/>
      <c r="CE18" s="501"/>
      <c r="CF18" s="501"/>
      <c r="CG18" s="501"/>
      <c r="CH18" s="501"/>
      <c r="CI18" s="501"/>
      <c r="CJ18" s="501"/>
      <c r="CK18" s="501"/>
      <c r="CL18" s="501"/>
      <c r="CM18" s="501"/>
      <c r="CN18" s="501"/>
      <c r="CO18" s="501"/>
      <c r="CP18" s="501"/>
      <c r="CQ18" s="501"/>
      <c r="CR18" s="501"/>
      <c r="CS18" s="501"/>
      <c r="CT18" s="501"/>
      <c r="CU18" s="501"/>
      <c r="CV18" s="501"/>
      <c r="CW18" s="501"/>
      <c r="CX18" s="501"/>
      <c r="CY18" s="501"/>
      <c r="CZ18" s="501"/>
      <c r="DA18" s="501"/>
      <c r="DB18" s="501"/>
      <c r="DC18" s="501"/>
      <c r="DD18" s="501"/>
      <c r="DE18" s="501"/>
      <c r="DF18" s="501"/>
      <c r="DG18" s="501"/>
      <c r="DH18" s="501"/>
      <c r="DI18" s="501"/>
      <c r="DJ18" s="501"/>
      <c r="DK18" s="501"/>
      <c r="DL18" s="501"/>
      <c r="DM18" s="501"/>
      <c r="DN18" s="501"/>
      <c r="DO18" s="501"/>
      <c r="DP18" s="501"/>
      <c r="DQ18" s="501"/>
      <c r="DR18" s="501"/>
      <c r="DS18" s="501"/>
      <c r="DT18" s="501"/>
      <c r="DU18" s="501"/>
      <c r="DV18" s="501"/>
      <c r="DW18" s="501"/>
      <c r="DX18" s="501"/>
      <c r="DY18" s="501"/>
      <c r="DZ18" s="501"/>
      <c r="EA18" s="501"/>
      <c r="EB18" s="501"/>
      <c r="EC18" s="501"/>
      <c r="ED18" s="501"/>
      <c r="EE18" s="501"/>
      <c r="EF18" s="501"/>
      <c r="EG18" s="501"/>
      <c r="EH18" s="501"/>
      <c r="EI18" s="501"/>
      <c r="EJ18" s="501"/>
      <c r="EK18" s="501"/>
      <c r="EL18" s="501"/>
      <c r="EM18" s="501"/>
      <c r="EN18" s="501"/>
      <c r="EO18" s="501"/>
      <c r="EP18" s="501"/>
      <c r="EQ18" s="501"/>
      <c r="ER18" s="501"/>
      <c r="ES18" s="501"/>
      <c r="ET18" s="501"/>
      <c r="EU18" s="501"/>
      <c r="EV18" s="501"/>
      <c r="EW18" s="501"/>
      <c r="EX18" s="501"/>
      <c r="EY18" s="501"/>
      <c r="EZ18" s="501"/>
      <c r="FA18" s="501"/>
      <c r="FB18" s="501"/>
      <c r="FC18" s="501"/>
      <c r="FD18" s="501"/>
      <c r="FE18" s="501"/>
      <c r="FF18" s="501"/>
      <c r="FG18" s="501"/>
      <c r="FH18" s="501"/>
      <c r="FI18" s="501"/>
      <c r="FJ18" s="501"/>
      <c r="FK18" s="501"/>
      <c r="FL18" s="501"/>
      <c r="FM18" s="501"/>
      <c r="FN18" s="501"/>
      <c r="FO18" s="501"/>
      <c r="FP18" s="501"/>
      <c r="FQ18" s="501"/>
      <c r="FR18" s="501"/>
      <c r="FS18" s="501"/>
      <c r="FT18" s="501"/>
      <c r="FU18" s="501"/>
      <c r="FV18" s="501"/>
      <c r="FW18" s="501"/>
      <c r="FX18" s="501"/>
      <c r="FY18" s="501"/>
      <c r="FZ18" s="501"/>
      <c r="GA18" s="501"/>
      <c r="GB18" s="501"/>
      <c r="GC18" s="501"/>
      <c r="GD18" s="501"/>
      <c r="GE18" s="501"/>
      <c r="GF18" s="501"/>
      <c r="GG18" s="501"/>
      <c r="GH18" s="501"/>
      <c r="GI18" s="501"/>
      <c r="GJ18" s="501"/>
      <c r="GK18" s="501"/>
      <c r="GL18" s="501"/>
      <c r="GM18" s="501"/>
      <c r="GN18" s="501"/>
      <c r="GO18" s="501"/>
      <c r="GP18" s="501"/>
      <c r="GQ18" s="501"/>
      <c r="GR18" s="501"/>
      <c r="GS18" s="501"/>
      <c r="GT18" s="501"/>
      <c r="GU18" s="501"/>
      <c r="GV18" s="501"/>
      <c r="GW18" s="501"/>
      <c r="GX18" s="501"/>
      <c r="GY18" s="501"/>
      <c r="GZ18" s="501"/>
      <c r="HA18" s="501"/>
      <c r="HB18" s="501"/>
      <c r="HC18" s="501"/>
      <c r="HD18" s="501"/>
      <c r="HE18" s="501"/>
      <c r="HF18" s="501"/>
      <c r="HG18" s="501"/>
      <c r="HH18" s="501"/>
      <c r="HI18" s="501"/>
      <c r="HJ18" s="501"/>
      <c r="HK18" s="501"/>
      <c r="HL18" s="501"/>
      <c r="HM18" s="501"/>
      <c r="HN18" s="501"/>
      <c r="HO18" s="501"/>
      <c r="HP18" s="501"/>
      <c r="HQ18" s="501"/>
      <c r="HR18" s="501"/>
      <c r="HS18" s="501"/>
      <c r="HT18" s="501"/>
      <c r="HU18" s="501"/>
      <c r="HV18" s="501"/>
      <c r="HW18" s="501"/>
      <c r="HX18" s="501"/>
      <c r="HY18" s="501"/>
    </row>
    <row r="19" spans="2:233" s="506" customFormat="1">
      <c r="B19" s="524"/>
      <c r="C19" s="524"/>
      <c r="D19" s="525"/>
      <c r="E19" t="s">
        <v>374</v>
      </c>
      <c r="F19" s="493" t="str">
        <f ca="1">_xll.PALO.DATAC("jedoxtest/EU_PM_CUBE02","#_Staatengruppen_und_NUTS","Langbezeichnung",$E19)</f>
        <v>Tanzania (United Republic of)</v>
      </c>
      <c r="G19" s="494">
        <f ca="1">_xll.PALO.DATAC("jedoxtest/EU_PM_CUBE02","EUPM_Mittel2_Cube",$D$3,"Alle Beteiligungen","Alle Koordinatoren","Alle Unternehmensgrößen","-2","Alle Organisationstypen",28,"Alle Expertevaluierungsstatus","-2","-2",$E19,"-2","Alle","-2",G$4)</f>
        <v>88</v>
      </c>
      <c r="H19" s="494">
        <f ca="1">_xll.PALO.DATAC("jedoxtest/EU_PM_CUBE02","EUPM_Mittel2_Cube",$D$3,"Alle Beteiligungen","Alle Koordinatoren","Alle Unternehmensgrößen","-2","Alle Organisationstypen",28,"Alle Expertevaluierungsstatus","-2","-2",$E19,"-2","Alle","-2",H$4)</f>
        <v>37604858.82</v>
      </c>
      <c r="I19" s="495">
        <f t="shared" ca="1" si="0"/>
        <v>6.4046113201505085E-4</v>
      </c>
      <c r="J19" s="495">
        <f t="shared" ca="1" si="1"/>
        <v>6.4506772765156588E-4</v>
      </c>
      <c r="K19" s="508"/>
      <c r="L19" s="488">
        <f ca="1">_xll.PALO.DATAC("jedoxtest/EU_PM_CUBE02","EUPM_Mittel2_Cube",$D$3,"Alle Beteiligungen","Alle Koordinatoren","Alle Unternehmensgrößen","-2","Alle Organisationstypen",28,"Alle Expertevaluierungsstatus","-2","-2",$E19,"-2","Alle","-2",L$4)</f>
        <v>88</v>
      </c>
      <c r="M19" s="488">
        <f ca="1">_xll.PALO.DATAC("jedoxtest/EU_PM_CUBE02","EUPM_Mittel2_Cube",$D$3,"Alle Beteiligungen","Alle Koordinatoren","Alle Unternehmensgrößen","-2","Alle Organisationstypen",28,"Alle Expertevaluierungsstatus","-2","-2",$E19,"-2","Alle","-2",M$4)</f>
        <v>37604858.82</v>
      </c>
      <c r="N19" s="488">
        <f ca="1">_xll.PALO.DATAC("jedoxtest/EU_PM_CUBE02","EUPM_Mittel2_Cube",$D$3,"Alle Beteiligungen","Alle Koordinatoren","Alle Unternehmensgrößen","-2","Alle Organisationstypen",28,"Alle Expertevaluierungsstatus","-2","-2",$E19,"-2","Alle","-2",N$4)</f>
        <v>0</v>
      </c>
      <c r="O19" s="489">
        <f t="shared" ca="1" si="2"/>
        <v>6.4046113201505085E-4</v>
      </c>
      <c r="P19" s="489">
        <f t="shared" ca="1" si="3"/>
        <v>6.4506772765156588E-4</v>
      </c>
      <c r="Q19" s="489">
        <f t="shared" ca="1" si="4"/>
        <v>0</v>
      </c>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8"/>
      <c r="AU19" s="508"/>
      <c r="AV19" s="508"/>
      <c r="AW19" s="508"/>
      <c r="AX19" s="508"/>
      <c r="AY19" s="508"/>
      <c r="AZ19" s="508"/>
      <c r="BA19" s="508"/>
      <c r="BB19" s="508"/>
      <c r="BC19" s="508"/>
      <c r="BD19" s="508"/>
      <c r="BE19" s="508"/>
      <c r="BF19" s="508"/>
      <c r="BG19" s="508"/>
      <c r="BH19" s="508"/>
      <c r="BI19" s="508"/>
      <c r="BJ19" s="508"/>
      <c r="BK19" s="508"/>
      <c r="BL19" s="508"/>
      <c r="BM19" s="508"/>
      <c r="BN19" s="508"/>
      <c r="BO19" s="508"/>
      <c r="BP19" s="508"/>
      <c r="BQ19" s="508"/>
      <c r="BR19" s="508"/>
      <c r="BS19" s="508"/>
      <c r="BT19" s="508"/>
      <c r="BU19" s="508"/>
      <c r="BV19" s="508"/>
      <c r="BW19" s="508"/>
      <c r="BX19" s="508"/>
      <c r="BY19" s="508"/>
      <c r="BZ19" s="508"/>
      <c r="CA19" s="508"/>
      <c r="CB19" s="508"/>
      <c r="CC19" s="508"/>
      <c r="CD19" s="508"/>
      <c r="CE19" s="508"/>
      <c r="CF19" s="508"/>
      <c r="CG19" s="508"/>
      <c r="CH19" s="508"/>
      <c r="CI19" s="508"/>
      <c r="CJ19" s="508"/>
      <c r="CK19" s="508"/>
      <c r="CL19" s="508"/>
      <c r="CM19" s="508"/>
      <c r="CN19" s="508"/>
      <c r="CO19" s="508"/>
      <c r="CP19" s="508"/>
      <c r="CQ19" s="508"/>
      <c r="CR19" s="508"/>
      <c r="CS19" s="508"/>
      <c r="CT19" s="508"/>
      <c r="CU19" s="508"/>
      <c r="CV19" s="508"/>
      <c r="CW19" s="508"/>
      <c r="CX19" s="508"/>
      <c r="CY19" s="508"/>
      <c r="CZ19" s="508"/>
      <c r="DA19" s="508"/>
      <c r="DB19" s="508"/>
      <c r="DC19" s="508"/>
      <c r="DD19" s="508"/>
      <c r="DE19" s="508"/>
      <c r="DF19" s="508"/>
      <c r="DG19" s="508"/>
      <c r="DH19" s="508"/>
      <c r="DI19" s="508"/>
      <c r="DJ19" s="508"/>
      <c r="DK19" s="508"/>
      <c r="DL19" s="508"/>
      <c r="DM19" s="508"/>
      <c r="DN19" s="508"/>
      <c r="DO19" s="508"/>
      <c r="DP19" s="508"/>
      <c r="DQ19" s="508"/>
      <c r="DR19" s="508"/>
      <c r="DS19" s="508"/>
      <c r="DT19" s="508"/>
      <c r="DU19" s="508"/>
      <c r="DV19" s="508"/>
      <c r="DW19" s="508"/>
      <c r="DX19" s="508"/>
      <c r="DY19" s="508"/>
      <c r="DZ19" s="508"/>
      <c r="EA19" s="508"/>
      <c r="EB19" s="508"/>
      <c r="EC19" s="508"/>
      <c r="ED19" s="508"/>
      <c r="EE19" s="508"/>
      <c r="EF19" s="508"/>
      <c r="EG19" s="508"/>
      <c r="EH19" s="508"/>
      <c r="EI19" s="508"/>
      <c r="EJ19" s="508"/>
      <c r="EK19" s="508"/>
      <c r="EL19" s="508"/>
      <c r="EM19" s="508"/>
      <c r="EN19" s="508"/>
      <c r="EO19" s="508"/>
      <c r="EP19" s="508"/>
      <c r="EQ19" s="508"/>
      <c r="ER19" s="508"/>
      <c r="ES19" s="508"/>
      <c r="ET19" s="508"/>
      <c r="EU19" s="508"/>
      <c r="EV19" s="508"/>
      <c r="EW19" s="508"/>
      <c r="EX19" s="508"/>
      <c r="EY19" s="508"/>
      <c r="EZ19" s="508"/>
      <c r="FA19" s="508"/>
      <c r="FB19" s="508"/>
      <c r="FC19" s="508"/>
      <c r="FD19" s="508"/>
      <c r="FE19" s="508"/>
      <c r="FF19" s="508"/>
      <c r="FG19" s="508"/>
      <c r="FH19" s="508"/>
      <c r="FI19" s="508"/>
      <c r="FJ19" s="508"/>
      <c r="FK19" s="508"/>
      <c r="FL19" s="508"/>
      <c r="FM19" s="508"/>
      <c r="FN19" s="508"/>
      <c r="FO19" s="508"/>
      <c r="FP19" s="508"/>
      <c r="FQ19" s="508"/>
      <c r="FR19" s="508"/>
      <c r="FS19" s="508"/>
      <c r="FT19" s="508"/>
      <c r="FU19" s="508"/>
      <c r="FV19" s="508"/>
      <c r="FW19" s="508"/>
      <c r="FX19" s="508"/>
      <c r="FY19" s="508"/>
      <c r="FZ19" s="508"/>
      <c r="GA19" s="508"/>
      <c r="GB19" s="508"/>
      <c r="GC19" s="508"/>
      <c r="GD19" s="508"/>
      <c r="GE19" s="508"/>
      <c r="GF19" s="508"/>
      <c r="GG19" s="508"/>
      <c r="GH19" s="508"/>
      <c r="GI19" s="508"/>
      <c r="GJ19" s="508"/>
      <c r="GK19" s="508"/>
      <c r="GL19" s="508"/>
      <c r="GM19" s="508"/>
      <c r="GN19" s="508"/>
      <c r="GO19" s="508"/>
      <c r="GP19" s="508"/>
      <c r="GQ19" s="508"/>
      <c r="GR19" s="508"/>
      <c r="GS19" s="508"/>
      <c r="GT19" s="508"/>
      <c r="GU19" s="508"/>
      <c r="GV19" s="508"/>
      <c r="GW19" s="508"/>
      <c r="GX19" s="508"/>
      <c r="GY19" s="508"/>
      <c r="GZ19" s="508"/>
      <c r="HA19" s="508"/>
      <c r="HB19" s="508"/>
      <c r="HC19" s="508"/>
      <c r="HD19" s="508"/>
      <c r="HE19" s="508"/>
      <c r="HF19" s="508"/>
      <c r="HG19" s="508"/>
      <c r="HH19" s="508"/>
      <c r="HI19" s="508"/>
      <c r="HJ19" s="508"/>
      <c r="HK19" s="508"/>
      <c r="HL19" s="508"/>
      <c r="HM19" s="508"/>
      <c r="HN19" s="508"/>
      <c r="HO19" s="508"/>
      <c r="HP19" s="508"/>
      <c r="HQ19" s="508"/>
      <c r="HR19" s="508"/>
      <c r="HS19" s="508"/>
      <c r="HT19" s="508"/>
      <c r="HU19" s="508"/>
      <c r="HV19" s="508"/>
      <c r="HW19" s="508"/>
      <c r="HX19" s="508"/>
      <c r="HY19" s="508"/>
    </row>
    <row r="20" spans="2:233" s="506" customFormat="1">
      <c r="B20" s="524"/>
      <c r="C20" s="524"/>
      <c r="D20" s="525"/>
      <c r="E20" t="s">
        <v>376</v>
      </c>
      <c r="F20" s="493" t="str">
        <f ca="1">_xll.PALO.DATAC("jedoxtest/EU_PM_CUBE02","#_Staatengruppen_und_NUTS","Langbezeichnung",$E20)</f>
        <v>Chile</v>
      </c>
      <c r="G20" s="494">
        <f ca="1">_xll.PALO.DATAC("jedoxtest/EU_PM_CUBE02","EUPM_Mittel2_Cube",$D$3,"Alle Beteiligungen","Alle Koordinatoren","Alle Unternehmensgrößen","-2","Alle Organisationstypen",28,"Alle Expertevaluierungsstatus","-2","-2",$E20,"-2","Alle","-2",G$4)</f>
        <v>86</v>
      </c>
      <c r="H20" s="494">
        <f ca="1">_xll.PALO.DATAC("jedoxtest/EU_PM_CUBE02","EUPM_Mittel2_Cube",$D$3,"Alle Beteiligungen","Alle Koordinatoren","Alle Unternehmensgrößen","-2","Alle Organisationstypen",28,"Alle Expertevaluierungsstatus","-2","-2",$E20,"-2","Alle","-2",H$4)</f>
        <v>4623604</v>
      </c>
      <c r="I20" s="495">
        <f t="shared" ca="1" si="0"/>
        <v>6.2590519719652696E-4</v>
      </c>
      <c r="J20" s="495">
        <f t="shared" ca="1" si="1"/>
        <v>7.9312562775915525E-5</v>
      </c>
      <c r="K20" s="508"/>
      <c r="L20" s="488">
        <f ca="1">_xll.PALO.DATAC("jedoxtest/EU_PM_CUBE02","EUPM_Mittel2_Cube",$D$3,"Alle Beteiligungen","Alle Koordinatoren","Alle Unternehmensgrößen","-2","Alle Organisationstypen",28,"Alle Expertevaluierungsstatus","-2","-2",$E20,"-2","Alle","-2",L$4)</f>
        <v>86</v>
      </c>
      <c r="M20" s="488">
        <f ca="1">_xll.PALO.DATAC("jedoxtest/EU_PM_CUBE02","EUPM_Mittel2_Cube",$D$3,"Alle Beteiligungen","Alle Koordinatoren","Alle Unternehmensgrößen","-2","Alle Organisationstypen",28,"Alle Expertevaluierungsstatus","-2","-2",$E20,"-2","Alle","-2",M$4)</f>
        <v>4623604</v>
      </c>
      <c r="N20" s="488">
        <f ca="1">_xll.PALO.DATAC("jedoxtest/EU_PM_CUBE02","EUPM_Mittel2_Cube",$D$3,"Alle Beteiligungen","Alle Koordinatoren","Alle Unternehmensgrößen","-2","Alle Organisationstypen",28,"Alle Expertevaluierungsstatus","-2","-2",$E20,"-2","Alle","-2",N$4)</f>
        <v>0</v>
      </c>
      <c r="O20" s="489">
        <f t="shared" ca="1" si="2"/>
        <v>6.2590519719652696E-4</v>
      </c>
      <c r="P20" s="489">
        <f t="shared" ca="1" si="3"/>
        <v>7.9312562775915525E-5</v>
      </c>
      <c r="Q20" s="489">
        <f t="shared" ca="1" si="4"/>
        <v>0</v>
      </c>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c r="AT20" s="508"/>
      <c r="AU20" s="508"/>
      <c r="AV20" s="508"/>
      <c r="AW20" s="508"/>
      <c r="AX20" s="508"/>
      <c r="AY20" s="508"/>
      <c r="AZ20" s="508"/>
      <c r="BA20" s="508"/>
      <c r="BB20" s="508"/>
      <c r="BC20" s="508"/>
      <c r="BD20" s="508"/>
      <c r="BE20" s="508"/>
      <c r="BF20" s="508"/>
      <c r="BG20" s="508"/>
      <c r="BH20" s="508"/>
      <c r="BI20" s="508"/>
      <c r="BJ20" s="508"/>
      <c r="BK20" s="508"/>
      <c r="BL20" s="508"/>
      <c r="BM20" s="508"/>
      <c r="BN20" s="508"/>
      <c r="BO20" s="508"/>
      <c r="BP20" s="508"/>
      <c r="BQ20" s="508"/>
      <c r="BR20" s="508"/>
      <c r="BS20" s="508"/>
      <c r="BT20" s="508"/>
      <c r="BU20" s="508"/>
      <c r="BV20" s="508"/>
      <c r="BW20" s="508"/>
      <c r="BX20" s="508"/>
      <c r="BY20" s="508"/>
      <c r="BZ20" s="508"/>
      <c r="CA20" s="508"/>
      <c r="CB20" s="508"/>
      <c r="CC20" s="508"/>
      <c r="CD20" s="508"/>
      <c r="CE20" s="508"/>
      <c r="CF20" s="508"/>
      <c r="CG20" s="508"/>
      <c r="CH20" s="508"/>
      <c r="CI20" s="508"/>
      <c r="CJ20" s="508"/>
      <c r="CK20" s="508"/>
      <c r="CL20" s="508"/>
      <c r="CM20" s="508"/>
      <c r="CN20" s="508"/>
      <c r="CO20" s="508"/>
      <c r="CP20" s="508"/>
      <c r="CQ20" s="508"/>
      <c r="CR20" s="508"/>
      <c r="CS20" s="508"/>
      <c r="CT20" s="508"/>
      <c r="CU20" s="508"/>
      <c r="CV20" s="508"/>
      <c r="CW20" s="508"/>
      <c r="CX20" s="508"/>
      <c r="CY20" s="508"/>
      <c r="CZ20" s="508"/>
      <c r="DA20" s="508"/>
      <c r="DB20" s="508"/>
      <c r="DC20" s="508"/>
      <c r="DD20" s="508"/>
      <c r="DE20" s="508"/>
      <c r="DF20" s="508"/>
      <c r="DG20" s="508"/>
      <c r="DH20" s="508"/>
      <c r="DI20" s="508"/>
      <c r="DJ20" s="508"/>
      <c r="DK20" s="508"/>
      <c r="DL20" s="508"/>
      <c r="DM20" s="508"/>
      <c r="DN20" s="508"/>
      <c r="DO20" s="508"/>
      <c r="DP20" s="508"/>
      <c r="DQ20" s="508"/>
      <c r="DR20" s="508"/>
      <c r="DS20" s="508"/>
      <c r="DT20" s="508"/>
      <c r="DU20" s="508"/>
      <c r="DV20" s="508"/>
      <c r="DW20" s="508"/>
      <c r="DX20" s="508"/>
      <c r="DY20" s="508"/>
      <c r="DZ20" s="508"/>
      <c r="EA20" s="508"/>
      <c r="EB20" s="508"/>
      <c r="EC20" s="508"/>
      <c r="ED20" s="508"/>
      <c r="EE20" s="508"/>
      <c r="EF20" s="508"/>
      <c r="EG20" s="508"/>
      <c r="EH20" s="508"/>
      <c r="EI20" s="508"/>
      <c r="EJ20" s="508"/>
      <c r="EK20" s="508"/>
      <c r="EL20" s="508"/>
      <c r="EM20" s="508"/>
      <c r="EN20" s="508"/>
      <c r="EO20" s="508"/>
      <c r="EP20" s="508"/>
      <c r="EQ20" s="508"/>
      <c r="ER20" s="508"/>
      <c r="ES20" s="508"/>
      <c r="ET20" s="508"/>
      <c r="EU20" s="508"/>
      <c r="EV20" s="508"/>
      <c r="EW20" s="508"/>
      <c r="EX20" s="508"/>
      <c r="EY20" s="508"/>
      <c r="EZ20" s="508"/>
      <c r="FA20" s="508"/>
      <c r="FB20" s="508"/>
      <c r="FC20" s="508"/>
      <c r="FD20" s="508"/>
      <c r="FE20" s="508"/>
      <c r="FF20" s="508"/>
      <c r="FG20" s="508"/>
      <c r="FH20" s="508"/>
      <c r="FI20" s="508"/>
      <c r="FJ20" s="508"/>
      <c r="FK20" s="508"/>
      <c r="FL20" s="508"/>
      <c r="FM20" s="508"/>
      <c r="FN20" s="508"/>
      <c r="FO20" s="508"/>
      <c r="FP20" s="508"/>
      <c r="FQ20" s="508"/>
      <c r="FR20" s="508"/>
      <c r="FS20" s="508"/>
      <c r="FT20" s="508"/>
      <c r="FU20" s="508"/>
      <c r="FV20" s="508"/>
      <c r="FW20" s="508"/>
      <c r="FX20" s="508"/>
      <c r="FY20" s="508"/>
      <c r="FZ20" s="508"/>
      <c r="GA20" s="508"/>
      <c r="GB20" s="508"/>
      <c r="GC20" s="508"/>
      <c r="GD20" s="508"/>
      <c r="GE20" s="508"/>
      <c r="GF20" s="508"/>
      <c r="GG20" s="508"/>
      <c r="GH20" s="508"/>
      <c r="GI20" s="508"/>
      <c r="GJ20" s="508"/>
      <c r="GK20" s="508"/>
      <c r="GL20" s="508"/>
      <c r="GM20" s="508"/>
      <c r="GN20" s="508"/>
      <c r="GO20" s="508"/>
      <c r="GP20" s="508"/>
      <c r="GQ20" s="508"/>
      <c r="GR20" s="508"/>
      <c r="GS20" s="508"/>
      <c r="GT20" s="508"/>
      <c r="GU20" s="508"/>
      <c r="GV20" s="508"/>
      <c r="GW20" s="508"/>
      <c r="GX20" s="508"/>
      <c r="GY20" s="508"/>
      <c r="GZ20" s="508"/>
      <c r="HA20" s="508"/>
      <c r="HB20" s="508"/>
      <c r="HC20" s="508"/>
      <c r="HD20" s="508"/>
      <c r="HE20" s="508"/>
      <c r="HF20" s="508"/>
      <c r="HG20" s="508"/>
      <c r="HH20" s="508"/>
      <c r="HI20" s="508"/>
      <c r="HJ20" s="508"/>
      <c r="HK20" s="508"/>
      <c r="HL20" s="508"/>
      <c r="HM20" s="508"/>
      <c r="HN20" s="508"/>
      <c r="HO20" s="508"/>
      <c r="HP20" s="508"/>
      <c r="HQ20" s="508"/>
      <c r="HR20" s="508"/>
      <c r="HS20" s="508"/>
      <c r="HT20" s="508"/>
      <c r="HU20" s="508"/>
      <c r="HV20" s="508"/>
      <c r="HW20" s="508"/>
      <c r="HX20" s="508"/>
      <c r="HY20" s="508"/>
    </row>
    <row r="21" spans="2:233" s="506" customFormat="1">
      <c r="B21" s="524"/>
      <c r="C21" s="524"/>
      <c r="D21" s="525"/>
      <c r="E21" t="s">
        <v>377</v>
      </c>
      <c r="F21" s="493" t="str">
        <f ca="1">_xll.PALO.DATAC("jedoxtest/EU_PM_CUBE02","#_Staatengruppen_und_NUTS","Langbezeichnung",$E21)</f>
        <v>Ethiopia</v>
      </c>
      <c r="G21" s="494">
        <f ca="1">_xll.PALO.DATAC("jedoxtest/EU_PM_CUBE02","EUPM_Mittel2_Cube",$D$3,"Alle Beteiligungen","Alle Koordinatoren","Alle Unternehmensgrößen","-2","Alle Organisationstypen",28,"Alle Expertevaluierungsstatus","-2","-2",$E21,"-2","Alle","-2",G$4)</f>
        <v>82</v>
      </c>
      <c r="H21" s="494">
        <f ca="1">_xll.PALO.DATAC("jedoxtest/EU_PM_CUBE02","EUPM_Mittel2_Cube",$D$3,"Alle Beteiligungen","Alle Koordinatoren","Alle Unternehmensgrößen","-2","Alle Organisationstypen",28,"Alle Expertevaluierungsstatus","-2","-2",$E21,"-2","Alle","-2",H$4)</f>
        <v>25453288.07</v>
      </c>
      <c r="I21" s="495">
        <f t="shared" ca="1" si="0"/>
        <v>5.9679332755947919E-4</v>
      </c>
      <c r="J21" s="495">
        <f t="shared" ca="1" si="1"/>
        <v>4.3662162847539206E-4</v>
      </c>
      <c r="K21" s="508"/>
      <c r="L21" s="488">
        <f ca="1">_xll.PALO.DATAC("jedoxtest/EU_PM_CUBE02","EUPM_Mittel2_Cube",$D$3,"Alle Beteiligungen","Alle Koordinatoren","Alle Unternehmensgrößen","-2","Alle Organisationstypen",28,"Alle Expertevaluierungsstatus","-2","-2",$E21,"-2","Alle","-2",L$4)</f>
        <v>82</v>
      </c>
      <c r="M21" s="488">
        <f ca="1">_xll.PALO.DATAC("jedoxtest/EU_PM_CUBE02","EUPM_Mittel2_Cube",$D$3,"Alle Beteiligungen","Alle Koordinatoren","Alle Unternehmensgrößen","-2","Alle Organisationstypen",28,"Alle Expertevaluierungsstatus","-2","-2",$E21,"-2","Alle","-2",M$4)</f>
        <v>25453288.07</v>
      </c>
      <c r="N21" s="488">
        <f ca="1">_xll.PALO.DATAC("jedoxtest/EU_PM_CUBE02","EUPM_Mittel2_Cube",$D$3,"Alle Beteiligungen","Alle Koordinatoren","Alle Unternehmensgrößen","-2","Alle Organisationstypen",28,"Alle Expertevaluierungsstatus","-2","-2",$E21,"-2","Alle","-2",N$4)</f>
        <v>0</v>
      </c>
      <c r="O21" s="489">
        <f t="shared" ca="1" si="2"/>
        <v>5.9679332755947919E-4</v>
      </c>
      <c r="P21" s="489">
        <f t="shared" ca="1" si="3"/>
        <v>4.3662162847539206E-4</v>
      </c>
      <c r="Q21" s="489">
        <f t="shared" ca="1" si="4"/>
        <v>0</v>
      </c>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U21" s="508"/>
      <c r="AV21" s="508"/>
      <c r="AW21" s="508"/>
      <c r="AX21" s="508"/>
      <c r="AY21" s="508"/>
      <c r="AZ21" s="508"/>
      <c r="BA21" s="508"/>
      <c r="BB21" s="508"/>
      <c r="BC21" s="508"/>
      <c r="BD21" s="508"/>
      <c r="BE21" s="508"/>
      <c r="BF21" s="508"/>
      <c r="BG21" s="508"/>
      <c r="BH21" s="508"/>
      <c r="BI21" s="508"/>
      <c r="BJ21" s="508"/>
      <c r="BK21" s="508"/>
      <c r="BL21" s="508"/>
      <c r="BM21" s="508"/>
      <c r="BN21" s="508"/>
      <c r="BO21" s="508"/>
      <c r="BP21" s="508"/>
      <c r="BQ21" s="508"/>
      <c r="BR21" s="508"/>
      <c r="BS21" s="508"/>
      <c r="BT21" s="508"/>
      <c r="BU21" s="508"/>
      <c r="BV21" s="508"/>
      <c r="BW21" s="508"/>
      <c r="BX21" s="508"/>
      <c r="BY21" s="508"/>
      <c r="BZ21" s="508"/>
      <c r="CA21" s="508"/>
      <c r="CB21" s="508"/>
      <c r="CC21" s="508"/>
      <c r="CD21" s="508"/>
      <c r="CE21" s="508"/>
      <c r="CF21" s="508"/>
      <c r="CG21" s="508"/>
      <c r="CH21" s="508"/>
      <c r="CI21" s="508"/>
      <c r="CJ21" s="508"/>
      <c r="CK21" s="508"/>
      <c r="CL21" s="508"/>
      <c r="CM21" s="508"/>
      <c r="CN21" s="508"/>
      <c r="CO21" s="508"/>
      <c r="CP21" s="508"/>
      <c r="CQ21" s="508"/>
      <c r="CR21" s="508"/>
      <c r="CS21" s="508"/>
      <c r="CT21" s="508"/>
      <c r="CU21" s="508"/>
      <c r="CV21" s="508"/>
      <c r="CW21" s="508"/>
      <c r="CX21" s="508"/>
      <c r="CY21" s="508"/>
      <c r="CZ21" s="508"/>
      <c r="DA21" s="508"/>
      <c r="DB21" s="508"/>
      <c r="DC21" s="508"/>
      <c r="DD21" s="508"/>
      <c r="DE21" s="508"/>
      <c r="DF21" s="508"/>
      <c r="DG21" s="508"/>
      <c r="DH21" s="508"/>
      <c r="DI21" s="508"/>
      <c r="DJ21" s="508"/>
      <c r="DK21" s="508"/>
      <c r="DL21" s="508"/>
      <c r="DM21" s="508"/>
      <c r="DN21" s="508"/>
      <c r="DO21" s="508"/>
      <c r="DP21" s="508"/>
      <c r="DQ21" s="508"/>
      <c r="DR21" s="508"/>
      <c r="DS21" s="508"/>
      <c r="DT21" s="508"/>
      <c r="DU21" s="508"/>
      <c r="DV21" s="508"/>
      <c r="DW21" s="508"/>
      <c r="DX21" s="508"/>
      <c r="DY21" s="508"/>
      <c r="DZ21" s="508"/>
      <c r="EA21" s="508"/>
      <c r="EB21" s="508"/>
      <c r="EC21" s="508"/>
      <c r="ED21" s="508"/>
      <c r="EE21" s="508"/>
      <c r="EF21" s="508"/>
      <c r="EG21" s="508"/>
      <c r="EH21" s="508"/>
      <c r="EI21" s="508"/>
      <c r="EJ21" s="508"/>
      <c r="EK21" s="508"/>
      <c r="EL21" s="508"/>
      <c r="EM21" s="508"/>
      <c r="EN21" s="508"/>
      <c r="EO21" s="508"/>
      <c r="EP21" s="508"/>
      <c r="EQ21" s="508"/>
      <c r="ER21" s="508"/>
      <c r="ES21" s="508"/>
      <c r="ET21" s="508"/>
      <c r="EU21" s="508"/>
      <c r="EV21" s="508"/>
      <c r="EW21" s="508"/>
      <c r="EX21" s="508"/>
      <c r="EY21" s="508"/>
      <c r="EZ21" s="508"/>
      <c r="FA21" s="508"/>
      <c r="FB21" s="508"/>
      <c r="FC21" s="508"/>
      <c r="FD21" s="508"/>
      <c r="FE21" s="508"/>
      <c r="FF21" s="508"/>
      <c r="FG21" s="508"/>
      <c r="FH21" s="508"/>
      <c r="FI21" s="508"/>
      <c r="FJ21" s="508"/>
      <c r="FK21" s="508"/>
      <c r="FL21" s="508"/>
      <c r="FM21" s="508"/>
      <c r="FN21" s="508"/>
      <c r="FO21" s="508"/>
      <c r="FP21" s="508"/>
      <c r="FQ21" s="508"/>
      <c r="FR21" s="508"/>
      <c r="FS21" s="508"/>
      <c r="FT21" s="508"/>
      <c r="FU21" s="508"/>
      <c r="FV21" s="508"/>
      <c r="FW21" s="508"/>
      <c r="FX21" s="508"/>
      <c r="FY21" s="508"/>
      <c r="FZ21" s="508"/>
      <c r="GA21" s="508"/>
      <c r="GB21" s="508"/>
      <c r="GC21" s="508"/>
      <c r="GD21" s="508"/>
      <c r="GE21" s="508"/>
      <c r="GF21" s="508"/>
      <c r="GG21" s="508"/>
      <c r="GH21" s="508"/>
      <c r="GI21" s="508"/>
      <c r="GJ21" s="508"/>
      <c r="GK21" s="508"/>
      <c r="GL21" s="508"/>
      <c r="GM21" s="508"/>
      <c r="GN21" s="508"/>
      <c r="GO21" s="508"/>
      <c r="GP21" s="508"/>
      <c r="GQ21" s="508"/>
      <c r="GR21" s="508"/>
      <c r="GS21" s="508"/>
      <c r="GT21" s="508"/>
      <c r="GU21" s="508"/>
      <c r="GV21" s="508"/>
      <c r="GW21" s="508"/>
      <c r="GX21" s="508"/>
      <c r="GY21" s="508"/>
      <c r="GZ21" s="508"/>
      <c r="HA21" s="508"/>
      <c r="HB21" s="508"/>
      <c r="HC21" s="508"/>
      <c r="HD21" s="508"/>
      <c r="HE21" s="508"/>
      <c r="HF21" s="508"/>
      <c r="HG21" s="508"/>
      <c r="HH21" s="508"/>
      <c r="HI21" s="508"/>
      <c r="HJ21" s="508"/>
      <c r="HK21" s="508"/>
      <c r="HL21" s="508"/>
      <c r="HM21" s="508"/>
      <c r="HN21" s="508"/>
      <c r="HO21" s="508"/>
      <c r="HP21" s="508"/>
      <c r="HQ21" s="508"/>
      <c r="HR21" s="508"/>
      <c r="HS21" s="508"/>
      <c r="HT21" s="508"/>
      <c r="HU21" s="508"/>
      <c r="HV21" s="508"/>
      <c r="HW21" s="508"/>
      <c r="HX21" s="508"/>
      <c r="HY21" s="508"/>
    </row>
    <row r="22" spans="2:233" s="506" customFormat="1">
      <c r="B22" s="524"/>
      <c r="C22" s="524"/>
      <c r="D22" s="525"/>
      <c r="E22" t="s">
        <v>379</v>
      </c>
      <c r="F22" s="493" t="str">
        <f ca="1">_xll.PALO.DATAC("jedoxtest/EU_PM_CUBE02","#_Staatengruppen_und_NUTS","Langbezeichnung",$E22)</f>
        <v>Nigeria</v>
      </c>
      <c r="G22" s="494">
        <f ca="1">_xll.PALO.DATAC("jedoxtest/EU_PM_CUBE02","EUPM_Mittel2_Cube",$D$3,"Alle Beteiligungen","Alle Koordinatoren","Alle Unternehmensgrößen","-2","Alle Organisationstypen",28,"Alle Expertevaluierungsstatus","-2","-2",$E22,"-2","Alle","-2",G$4)</f>
        <v>74</v>
      </c>
      <c r="H22" s="494">
        <f ca="1">_xll.PALO.DATAC("jedoxtest/EU_PM_CUBE02","EUPM_Mittel2_Cube",$D$3,"Alle Beteiligungen","Alle Koordinatoren","Alle Unternehmensgrößen","-2","Alle Organisationstypen",28,"Alle Expertevaluierungsstatus","-2","-2",$E22,"-2","Alle","-2",H$4)</f>
        <v>21918967.940000001</v>
      </c>
      <c r="I22" s="495">
        <f t="shared" ca="1" si="0"/>
        <v>5.3856958828538365E-4</v>
      </c>
      <c r="J22" s="495">
        <f t="shared" ca="1" si="1"/>
        <v>3.7599446681085358E-4</v>
      </c>
      <c r="K22" s="508"/>
      <c r="L22" s="488">
        <f ca="1">_xll.PALO.DATAC("jedoxtest/EU_PM_CUBE02","EUPM_Mittel2_Cube",$D$3,"Alle Beteiligungen","Alle Koordinatoren","Alle Unternehmensgrößen","-2","Alle Organisationstypen",28,"Alle Expertevaluierungsstatus","-2","-2",$E22,"-2","Alle","-2",L$4)</f>
        <v>74</v>
      </c>
      <c r="M22" s="488">
        <f ca="1">_xll.PALO.DATAC("jedoxtest/EU_PM_CUBE02","EUPM_Mittel2_Cube",$D$3,"Alle Beteiligungen","Alle Koordinatoren","Alle Unternehmensgrößen","-2","Alle Organisationstypen",28,"Alle Expertevaluierungsstatus","-2","-2",$E22,"-2","Alle","-2",M$4)</f>
        <v>21918967.940000001</v>
      </c>
      <c r="N22" s="488">
        <f ca="1">_xll.PALO.DATAC("jedoxtest/EU_PM_CUBE02","EUPM_Mittel2_Cube",$D$3,"Alle Beteiligungen","Alle Koordinatoren","Alle Unternehmensgrößen","-2","Alle Organisationstypen",28,"Alle Expertevaluierungsstatus","-2","-2",$E22,"-2","Alle","-2",N$4)</f>
        <v>2</v>
      </c>
      <c r="O22" s="489">
        <f t="shared" ca="1" si="2"/>
        <v>5.3856958828538365E-4</v>
      </c>
      <c r="P22" s="489">
        <f t="shared" ca="1" si="3"/>
        <v>3.7599446681085358E-4</v>
      </c>
      <c r="Q22" s="489">
        <f t="shared" ca="1" si="4"/>
        <v>8.5572479890467222E-5</v>
      </c>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U22" s="508"/>
      <c r="AV22" s="508"/>
      <c r="AW22" s="508"/>
      <c r="AX22" s="508"/>
      <c r="AY22" s="508"/>
      <c r="AZ22" s="508"/>
      <c r="BA22" s="508"/>
      <c r="BB22" s="508"/>
      <c r="BC22" s="508"/>
      <c r="BD22" s="508"/>
      <c r="BE22" s="508"/>
      <c r="BF22" s="508"/>
      <c r="BG22" s="508"/>
      <c r="BH22" s="508"/>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08"/>
      <c r="CI22" s="508"/>
      <c r="CJ22" s="508"/>
      <c r="CK22" s="508"/>
      <c r="CL22" s="508"/>
      <c r="CM22" s="508"/>
      <c r="CN22" s="508"/>
      <c r="CO22" s="508"/>
      <c r="CP22" s="508"/>
      <c r="CQ22" s="508"/>
      <c r="CR22" s="508"/>
      <c r="CS22" s="508"/>
      <c r="CT22" s="508"/>
      <c r="CU22" s="508"/>
      <c r="CV22" s="508"/>
      <c r="CW22" s="508"/>
      <c r="CX22" s="508"/>
      <c r="CY22" s="508"/>
      <c r="CZ22" s="508"/>
      <c r="DA22" s="508"/>
      <c r="DB22" s="508"/>
      <c r="DC22" s="508"/>
      <c r="DD22" s="508"/>
      <c r="DE22" s="508"/>
      <c r="DF22" s="508"/>
      <c r="DG22" s="508"/>
      <c r="DH22" s="508"/>
      <c r="DI22" s="508"/>
      <c r="DJ22" s="508"/>
      <c r="DK22" s="508"/>
      <c r="DL22" s="508"/>
      <c r="DM22" s="508"/>
      <c r="DN22" s="508"/>
      <c r="DO22" s="508"/>
      <c r="DP22" s="508"/>
      <c r="DQ22" s="508"/>
      <c r="DR22" s="508"/>
      <c r="DS22" s="508"/>
      <c r="DT22" s="508"/>
      <c r="DU22" s="508"/>
      <c r="DV22" s="508"/>
      <c r="DW22" s="508"/>
      <c r="DX22" s="508"/>
      <c r="DY22" s="508"/>
      <c r="DZ22" s="508"/>
      <c r="EA22" s="508"/>
      <c r="EB22" s="508"/>
      <c r="EC22" s="508"/>
      <c r="ED22" s="508"/>
      <c r="EE22" s="508"/>
      <c r="EF22" s="508"/>
      <c r="EG22" s="508"/>
      <c r="EH22" s="508"/>
      <c r="EI22" s="508"/>
      <c r="EJ22" s="508"/>
      <c r="EK22" s="508"/>
      <c r="EL22" s="508"/>
      <c r="EM22" s="508"/>
      <c r="EN22" s="508"/>
      <c r="EO22" s="508"/>
      <c r="EP22" s="508"/>
      <c r="EQ22" s="508"/>
      <c r="ER22" s="508"/>
      <c r="ES22" s="508"/>
      <c r="ET22" s="508"/>
      <c r="EU22" s="508"/>
      <c r="EV22" s="508"/>
      <c r="EW22" s="508"/>
      <c r="EX22" s="508"/>
      <c r="EY22" s="508"/>
      <c r="EZ22" s="508"/>
      <c r="FA22" s="508"/>
      <c r="FB22" s="508"/>
      <c r="FC22" s="508"/>
      <c r="FD22" s="508"/>
      <c r="FE22" s="508"/>
      <c r="FF22" s="508"/>
      <c r="FG22" s="508"/>
      <c r="FH22" s="508"/>
      <c r="FI22" s="508"/>
      <c r="FJ22" s="508"/>
      <c r="FK22" s="508"/>
      <c r="FL22" s="508"/>
      <c r="FM22" s="508"/>
      <c r="FN22" s="508"/>
      <c r="FO22" s="508"/>
      <c r="FP22" s="508"/>
      <c r="FQ22" s="508"/>
      <c r="FR22" s="508"/>
      <c r="FS22" s="508"/>
      <c r="FT22" s="508"/>
      <c r="FU22" s="508"/>
      <c r="FV22" s="508"/>
      <c r="FW22" s="508"/>
      <c r="FX22" s="508"/>
      <c r="FY22" s="508"/>
      <c r="FZ22" s="508"/>
      <c r="GA22" s="508"/>
      <c r="GB22" s="508"/>
      <c r="GC22" s="508"/>
      <c r="GD22" s="508"/>
      <c r="GE22" s="508"/>
      <c r="GF22" s="508"/>
      <c r="GG22" s="508"/>
      <c r="GH22" s="508"/>
      <c r="GI22" s="508"/>
      <c r="GJ22" s="508"/>
      <c r="GK22" s="508"/>
      <c r="GL22" s="508"/>
      <c r="GM22" s="508"/>
      <c r="GN22" s="508"/>
      <c r="GO22" s="508"/>
      <c r="GP22" s="508"/>
      <c r="GQ22" s="508"/>
      <c r="GR22" s="508"/>
      <c r="GS22" s="508"/>
      <c r="GT22" s="508"/>
      <c r="GU22" s="508"/>
      <c r="GV22" s="508"/>
      <c r="GW22" s="508"/>
      <c r="GX22" s="508"/>
      <c r="GY22" s="508"/>
      <c r="GZ22" s="508"/>
      <c r="HA22" s="508"/>
      <c r="HB22" s="508"/>
      <c r="HC22" s="508"/>
      <c r="HD22" s="508"/>
      <c r="HE22" s="508"/>
      <c r="HF22" s="508"/>
      <c r="HG22" s="508"/>
      <c r="HH22" s="508"/>
      <c r="HI22" s="508"/>
      <c r="HJ22" s="508"/>
      <c r="HK22" s="508"/>
      <c r="HL22" s="508"/>
      <c r="HM22" s="508"/>
      <c r="HN22" s="508"/>
      <c r="HO22" s="508"/>
      <c r="HP22" s="508"/>
      <c r="HQ22" s="508"/>
      <c r="HR22" s="508"/>
      <c r="HS22" s="508"/>
      <c r="HT22" s="508"/>
      <c r="HU22" s="508"/>
      <c r="HV22" s="508"/>
      <c r="HW22" s="508"/>
      <c r="HX22" s="508"/>
      <c r="HY22" s="508"/>
    </row>
    <row r="23" spans="2:233" s="506" customFormat="1">
      <c r="B23" s="524"/>
      <c r="C23" s="524"/>
      <c r="D23" s="525"/>
      <c r="E23" t="s">
        <v>385</v>
      </c>
      <c r="F23" s="493" t="str">
        <f ca="1">_xll.PALO.DATAC("jedoxtest/EU_PM_CUBE02","#_Staatengruppen_und_NUTS","Langbezeichnung",$E23)</f>
        <v>Mexico</v>
      </c>
      <c r="G23" s="494">
        <f ca="1">_xll.PALO.DATAC("jedoxtest/EU_PM_CUBE02","EUPM_Mittel2_Cube",$D$3,"Alle Beteiligungen","Alle Koordinatoren","Alle Unternehmensgrößen","-2","Alle Organisationstypen",28,"Alle Expertevaluierungsstatus","-2","-2",$E23,"-2","Alle","-2",G$4)</f>
        <v>61</v>
      </c>
      <c r="H23" s="494">
        <f ca="1">_xll.PALO.DATAC("jedoxtest/EU_PM_CUBE02","EUPM_Mittel2_Cube",$D$3,"Alle Beteiligungen","Alle Koordinatoren","Alle Unternehmensgrößen","-2","Alle Organisationstypen",28,"Alle Expertevaluierungsstatus","-2","-2",$E23,"-2","Alle","-2",H$4)</f>
        <v>501738.75</v>
      </c>
      <c r="I23" s="495">
        <f t="shared" ca="1" si="0"/>
        <v>4.439560119649784E-4</v>
      </c>
      <c r="J23" s="495">
        <f t="shared" ca="1" si="1"/>
        <v>8.6067461890084846E-6</v>
      </c>
      <c r="K23" s="508"/>
      <c r="L23" s="488">
        <f ca="1">_xll.PALO.DATAC("jedoxtest/EU_PM_CUBE02","EUPM_Mittel2_Cube",$D$3,"Alle Beteiligungen","Alle Koordinatoren","Alle Unternehmensgrößen","-2","Alle Organisationstypen",28,"Alle Expertevaluierungsstatus","-2","-2",$E23,"-2","Alle","-2",L$4)</f>
        <v>61</v>
      </c>
      <c r="M23" s="488">
        <f ca="1">_xll.PALO.DATAC("jedoxtest/EU_PM_CUBE02","EUPM_Mittel2_Cube",$D$3,"Alle Beteiligungen","Alle Koordinatoren","Alle Unternehmensgrößen","-2","Alle Organisationstypen",28,"Alle Expertevaluierungsstatus","-2","-2",$E23,"-2","Alle","-2",M$4)</f>
        <v>501738.75</v>
      </c>
      <c r="N23" s="488">
        <f ca="1">_xll.PALO.DATAC("jedoxtest/EU_PM_CUBE02","EUPM_Mittel2_Cube",$D$3,"Alle Beteiligungen","Alle Koordinatoren","Alle Unternehmensgrößen","-2","Alle Organisationstypen",28,"Alle Expertevaluierungsstatus","-2","-2",$E23,"-2","Alle","-2",N$4)</f>
        <v>0</v>
      </c>
      <c r="O23" s="489">
        <f t="shared" ca="1" si="2"/>
        <v>4.439560119649784E-4</v>
      </c>
      <c r="P23" s="489">
        <f t="shared" ca="1" si="3"/>
        <v>8.6067461890084846E-6</v>
      </c>
      <c r="Q23" s="489">
        <f t="shared" ca="1" si="4"/>
        <v>0</v>
      </c>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U23" s="508"/>
      <c r="AV23" s="508"/>
      <c r="AW23" s="508"/>
      <c r="AX23" s="508"/>
      <c r="AY23" s="508"/>
      <c r="AZ23" s="508"/>
      <c r="BA23" s="508"/>
      <c r="BB23" s="508"/>
      <c r="BC23" s="508"/>
      <c r="BD23" s="508"/>
      <c r="BE23" s="508"/>
      <c r="BF23" s="508"/>
      <c r="BG23" s="508"/>
      <c r="BH23" s="508"/>
      <c r="BI23" s="508"/>
      <c r="BJ23" s="508"/>
      <c r="BK23" s="508"/>
      <c r="BL23" s="508"/>
      <c r="BM23" s="508"/>
      <c r="BN23" s="508"/>
      <c r="BO23" s="508"/>
      <c r="BP23" s="508"/>
      <c r="BQ23" s="508"/>
      <c r="BR23" s="508"/>
      <c r="BS23" s="508"/>
      <c r="BT23" s="508"/>
      <c r="BU23" s="508"/>
      <c r="BV23" s="508"/>
      <c r="BW23" s="508"/>
      <c r="BX23" s="508"/>
      <c r="BY23" s="508"/>
      <c r="BZ23" s="508"/>
      <c r="CA23" s="508"/>
      <c r="CB23" s="508"/>
      <c r="CC23" s="508"/>
      <c r="CD23" s="508"/>
      <c r="CE23" s="508"/>
      <c r="CF23" s="508"/>
      <c r="CG23" s="508"/>
      <c r="CH23" s="508"/>
      <c r="CI23" s="508"/>
      <c r="CJ23" s="508"/>
      <c r="CK23" s="508"/>
      <c r="CL23" s="508"/>
      <c r="CM23" s="508"/>
      <c r="CN23" s="508"/>
      <c r="CO23" s="508"/>
      <c r="CP23" s="508"/>
      <c r="CQ23" s="508"/>
      <c r="CR23" s="508"/>
      <c r="CS23" s="508"/>
      <c r="CT23" s="508"/>
      <c r="CU23" s="508"/>
      <c r="CV23" s="508"/>
      <c r="CW23" s="508"/>
      <c r="CX23" s="508"/>
      <c r="CY23" s="508"/>
      <c r="CZ23" s="508"/>
      <c r="DA23" s="508"/>
      <c r="DB23" s="508"/>
      <c r="DC23" s="508"/>
      <c r="DD23" s="508"/>
      <c r="DE23" s="508"/>
      <c r="DF23" s="508"/>
      <c r="DG23" s="508"/>
      <c r="DH23" s="508"/>
      <c r="DI23" s="508"/>
      <c r="DJ23" s="508"/>
      <c r="DK23" s="508"/>
      <c r="DL23" s="508"/>
      <c r="DM23" s="508"/>
      <c r="DN23" s="508"/>
      <c r="DO23" s="508"/>
      <c r="DP23" s="508"/>
      <c r="DQ23" s="508"/>
      <c r="DR23" s="508"/>
      <c r="DS23" s="508"/>
      <c r="DT23" s="508"/>
      <c r="DU23" s="508"/>
      <c r="DV23" s="508"/>
      <c r="DW23" s="508"/>
      <c r="DX23" s="508"/>
      <c r="DY23" s="508"/>
      <c r="DZ23" s="508"/>
      <c r="EA23" s="508"/>
      <c r="EB23" s="508"/>
      <c r="EC23" s="508"/>
      <c r="ED23" s="508"/>
      <c r="EE23" s="508"/>
      <c r="EF23" s="508"/>
      <c r="EG23" s="508"/>
      <c r="EH23" s="508"/>
      <c r="EI23" s="508"/>
      <c r="EJ23" s="508"/>
      <c r="EK23" s="508"/>
      <c r="EL23" s="508"/>
      <c r="EM23" s="508"/>
      <c r="EN23" s="508"/>
      <c r="EO23" s="508"/>
      <c r="EP23" s="508"/>
      <c r="EQ23" s="508"/>
      <c r="ER23" s="508"/>
      <c r="ES23" s="508"/>
      <c r="ET23" s="508"/>
      <c r="EU23" s="508"/>
      <c r="EV23" s="508"/>
      <c r="EW23" s="508"/>
      <c r="EX23" s="508"/>
      <c r="EY23" s="508"/>
      <c r="EZ23" s="508"/>
      <c r="FA23" s="508"/>
      <c r="FB23" s="508"/>
      <c r="FC23" s="508"/>
      <c r="FD23" s="508"/>
      <c r="FE23" s="508"/>
      <c r="FF23" s="508"/>
      <c r="FG23" s="508"/>
      <c r="FH23" s="508"/>
      <c r="FI23" s="508"/>
      <c r="FJ23" s="508"/>
      <c r="FK23" s="508"/>
      <c r="FL23" s="508"/>
      <c r="FM23" s="508"/>
      <c r="FN23" s="508"/>
      <c r="FO23" s="508"/>
      <c r="FP23" s="508"/>
      <c r="FQ23" s="508"/>
      <c r="FR23" s="508"/>
      <c r="FS23" s="508"/>
      <c r="FT23" s="508"/>
      <c r="FU23" s="508"/>
      <c r="FV23" s="508"/>
      <c r="FW23" s="508"/>
      <c r="FX23" s="508"/>
      <c r="FY23" s="508"/>
      <c r="FZ23" s="508"/>
      <c r="GA23" s="508"/>
      <c r="GB23" s="508"/>
      <c r="GC23" s="508"/>
      <c r="GD23" s="508"/>
      <c r="GE23" s="508"/>
      <c r="GF23" s="508"/>
      <c r="GG23" s="508"/>
      <c r="GH23" s="508"/>
      <c r="GI23" s="508"/>
      <c r="GJ23" s="508"/>
      <c r="GK23" s="508"/>
      <c r="GL23" s="508"/>
      <c r="GM23" s="508"/>
      <c r="GN23" s="508"/>
      <c r="GO23" s="508"/>
      <c r="GP23" s="508"/>
      <c r="GQ23" s="508"/>
      <c r="GR23" s="508"/>
      <c r="GS23" s="508"/>
      <c r="GT23" s="508"/>
      <c r="GU23" s="508"/>
      <c r="GV23" s="508"/>
      <c r="GW23" s="508"/>
      <c r="GX23" s="508"/>
      <c r="GY23" s="508"/>
      <c r="GZ23" s="508"/>
      <c r="HA23" s="508"/>
      <c r="HB23" s="508"/>
      <c r="HC23" s="508"/>
      <c r="HD23" s="508"/>
      <c r="HE23" s="508"/>
      <c r="HF23" s="508"/>
      <c r="HG23" s="508"/>
      <c r="HH23" s="508"/>
      <c r="HI23" s="508"/>
      <c r="HJ23" s="508"/>
      <c r="HK23" s="508"/>
      <c r="HL23" s="508"/>
      <c r="HM23" s="508"/>
      <c r="HN23" s="508"/>
      <c r="HO23" s="508"/>
      <c r="HP23" s="508"/>
      <c r="HQ23" s="508"/>
      <c r="HR23" s="508"/>
      <c r="HS23" s="508"/>
      <c r="HT23" s="508"/>
      <c r="HU23" s="508"/>
      <c r="HV23" s="508"/>
      <c r="HW23" s="508"/>
      <c r="HX23" s="508"/>
      <c r="HY23" s="508"/>
    </row>
    <row r="24" spans="2:233" s="506" customFormat="1">
      <c r="B24" s="524"/>
      <c r="C24" s="524"/>
      <c r="D24" s="525"/>
      <c r="E24" t="s">
        <v>381</v>
      </c>
      <c r="F24" s="493" t="str">
        <f ca="1">_xll.PALO.DATAC("jedoxtest/EU_PM_CUBE02","#_Staatengruppen_und_NUTS","Langbezeichnung",$E24)</f>
        <v>Thailand</v>
      </c>
      <c r="G24" s="494">
        <f ca="1">_xll.PALO.DATAC("jedoxtest/EU_PM_CUBE02","EUPM_Mittel2_Cube",$D$3,"Alle Beteiligungen","Alle Koordinatoren","Alle Unternehmensgrößen","-2","Alle Organisationstypen",28,"Alle Expertevaluierungsstatus","-2","-2",$E24,"-2","Alle","-2",G$4)</f>
        <v>60</v>
      </c>
      <c r="H24" s="494">
        <f ca="1">_xll.PALO.DATAC("jedoxtest/EU_PM_CUBE02","EUPM_Mittel2_Cube",$D$3,"Alle Beteiligungen","Alle Koordinatoren","Alle Unternehmensgrößen","-2","Alle Organisationstypen",28,"Alle Expertevaluierungsstatus","-2","-2",$E24,"-2","Alle","-2",H$4)</f>
        <v>4060034.75</v>
      </c>
      <c r="I24" s="495">
        <f t="shared" ca="1" si="0"/>
        <v>4.3667804455571645E-4</v>
      </c>
      <c r="J24" s="495">
        <f t="shared" ca="1" si="1"/>
        <v>6.9645186088984582E-5</v>
      </c>
      <c r="K24" s="508"/>
      <c r="L24" s="488">
        <f ca="1">_xll.PALO.DATAC("jedoxtest/EU_PM_CUBE02","EUPM_Mittel2_Cube",$D$3,"Alle Beteiligungen","Alle Koordinatoren","Alle Unternehmensgrößen","-2","Alle Organisationstypen",28,"Alle Expertevaluierungsstatus","-2","-2",$E24,"-2","Alle","-2",L$4)</f>
        <v>60</v>
      </c>
      <c r="M24" s="488">
        <f ca="1">_xll.PALO.DATAC("jedoxtest/EU_PM_CUBE02","EUPM_Mittel2_Cube",$D$3,"Alle Beteiligungen","Alle Koordinatoren","Alle Unternehmensgrößen","-2","Alle Organisationstypen",28,"Alle Expertevaluierungsstatus","-2","-2",$E24,"-2","Alle","-2",M$4)</f>
        <v>4060034.75</v>
      </c>
      <c r="N24" s="488">
        <f ca="1">_xll.PALO.DATAC("jedoxtest/EU_PM_CUBE02","EUPM_Mittel2_Cube",$D$3,"Alle Beteiligungen","Alle Koordinatoren","Alle Unternehmensgrößen","-2","Alle Organisationstypen",28,"Alle Expertevaluierungsstatus","-2","-2",$E24,"-2","Alle","-2",N$4)</f>
        <v>0</v>
      </c>
      <c r="O24" s="489">
        <f t="shared" ca="1" si="2"/>
        <v>4.3667804455571645E-4</v>
      </c>
      <c r="P24" s="489">
        <f t="shared" ca="1" si="3"/>
        <v>6.9645186088984582E-5</v>
      </c>
      <c r="Q24" s="489">
        <f t="shared" ca="1" si="4"/>
        <v>0</v>
      </c>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8"/>
      <c r="AO24" s="508"/>
      <c r="AP24" s="508"/>
      <c r="AQ24" s="508"/>
      <c r="AR24" s="508"/>
      <c r="AS24" s="508"/>
      <c r="AT24" s="508"/>
      <c r="AU24" s="508"/>
      <c r="AV24" s="508"/>
      <c r="AW24" s="508"/>
      <c r="AX24" s="508"/>
      <c r="AY24" s="508"/>
      <c r="AZ24" s="508"/>
      <c r="BA24" s="508"/>
      <c r="BB24" s="508"/>
      <c r="BC24" s="508"/>
      <c r="BD24" s="508"/>
      <c r="BE24" s="508"/>
      <c r="BF24" s="508"/>
      <c r="BG24" s="508"/>
      <c r="BH24" s="508"/>
      <c r="BI24" s="508"/>
      <c r="BJ24" s="508"/>
      <c r="BK24" s="508"/>
      <c r="BL24" s="508"/>
      <c r="BM24" s="508"/>
      <c r="BN24" s="508"/>
      <c r="BO24" s="508"/>
      <c r="BP24" s="508"/>
      <c r="BQ24" s="508"/>
      <c r="BR24" s="508"/>
      <c r="BS24" s="508"/>
      <c r="BT24" s="508"/>
      <c r="BU24" s="508"/>
      <c r="BV24" s="508"/>
      <c r="BW24" s="508"/>
      <c r="BX24" s="508"/>
      <c r="BY24" s="508"/>
      <c r="BZ24" s="508"/>
      <c r="CA24" s="508"/>
      <c r="CB24" s="508"/>
      <c r="CC24" s="508"/>
      <c r="CD24" s="508"/>
      <c r="CE24" s="508"/>
      <c r="CF24" s="508"/>
      <c r="CG24" s="508"/>
      <c r="CH24" s="508"/>
      <c r="CI24" s="508"/>
      <c r="CJ24" s="508"/>
      <c r="CK24" s="508"/>
      <c r="CL24" s="508"/>
      <c r="CM24" s="508"/>
      <c r="CN24" s="508"/>
      <c r="CO24" s="508"/>
      <c r="CP24" s="508"/>
      <c r="CQ24" s="508"/>
      <c r="CR24" s="508"/>
      <c r="CS24" s="508"/>
      <c r="CT24" s="508"/>
      <c r="CU24" s="508"/>
      <c r="CV24" s="508"/>
      <c r="CW24" s="508"/>
      <c r="CX24" s="508"/>
      <c r="CY24" s="508"/>
      <c r="CZ24" s="508"/>
      <c r="DA24" s="508"/>
      <c r="DB24" s="508"/>
      <c r="DC24" s="508"/>
      <c r="DD24" s="508"/>
      <c r="DE24" s="508"/>
      <c r="DF24" s="508"/>
      <c r="DG24" s="508"/>
      <c r="DH24" s="508"/>
      <c r="DI24" s="508"/>
      <c r="DJ24" s="508"/>
      <c r="DK24" s="508"/>
      <c r="DL24" s="508"/>
      <c r="DM24" s="508"/>
      <c r="DN24" s="508"/>
      <c r="DO24" s="508"/>
      <c r="DP24" s="508"/>
      <c r="DQ24" s="508"/>
      <c r="DR24" s="508"/>
      <c r="DS24" s="508"/>
      <c r="DT24" s="508"/>
      <c r="DU24" s="508"/>
      <c r="DV24" s="508"/>
      <c r="DW24" s="508"/>
      <c r="DX24" s="508"/>
      <c r="DY24" s="508"/>
      <c r="DZ24" s="508"/>
      <c r="EA24" s="508"/>
      <c r="EB24" s="508"/>
      <c r="EC24" s="508"/>
      <c r="ED24" s="508"/>
      <c r="EE24" s="508"/>
      <c r="EF24" s="508"/>
      <c r="EG24" s="508"/>
      <c r="EH24" s="508"/>
      <c r="EI24" s="508"/>
      <c r="EJ24" s="508"/>
      <c r="EK24" s="508"/>
      <c r="EL24" s="508"/>
      <c r="EM24" s="508"/>
      <c r="EN24" s="508"/>
      <c r="EO24" s="508"/>
      <c r="EP24" s="508"/>
      <c r="EQ24" s="508"/>
      <c r="ER24" s="508"/>
      <c r="ES24" s="508"/>
      <c r="ET24" s="508"/>
      <c r="EU24" s="508"/>
      <c r="EV24" s="508"/>
      <c r="EW24" s="508"/>
      <c r="EX24" s="508"/>
      <c r="EY24" s="508"/>
      <c r="EZ24" s="508"/>
      <c r="FA24" s="508"/>
      <c r="FB24" s="508"/>
      <c r="FC24" s="508"/>
      <c r="FD24" s="508"/>
      <c r="FE24" s="508"/>
      <c r="FF24" s="508"/>
      <c r="FG24" s="508"/>
      <c r="FH24" s="508"/>
      <c r="FI24" s="508"/>
      <c r="FJ24" s="508"/>
      <c r="FK24" s="508"/>
      <c r="FL24" s="508"/>
      <c r="FM24" s="508"/>
      <c r="FN24" s="508"/>
      <c r="FO24" s="508"/>
      <c r="FP24" s="508"/>
      <c r="FQ24" s="508"/>
      <c r="FR24" s="508"/>
      <c r="FS24" s="508"/>
      <c r="FT24" s="508"/>
      <c r="FU24" s="508"/>
      <c r="FV24" s="508"/>
      <c r="FW24" s="508"/>
      <c r="FX24" s="508"/>
      <c r="FY24" s="508"/>
      <c r="FZ24" s="508"/>
      <c r="GA24" s="508"/>
      <c r="GB24" s="508"/>
      <c r="GC24" s="508"/>
      <c r="GD24" s="508"/>
      <c r="GE24" s="508"/>
      <c r="GF24" s="508"/>
      <c r="GG24" s="508"/>
      <c r="GH24" s="508"/>
      <c r="GI24" s="508"/>
      <c r="GJ24" s="508"/>
      <c r="GK24" s="508"/>
      <c r="GL24" s="508"/>
      <c r="GM24" s="508"/>
      <c r="GN24" s="508"/>
      <c r="GO24" s="508"/>
      <c r="GP24" s="508"/>
      <c r="GQ24" s="508"/>
      <c r="GR24" s="508"/>
      <c r="GS24" s="508"/>
      <c r="GT24" s="508"/>
      <c r="GU24" s="508"/>
      <c r="GV24" s="508"/>
      <c r="GW24" s="508"/>
      <c r="GX24" s="508"/>
      <c r="GY24" s="508"/>
      <c r="GZ24" s="508"/>
      <c r="HA24" s="508"/>
      <c r="HB24" s="508"/>
      <c r="HC24" s="508"/>
      <c r="HD24" s="508"/>
      <c r="HE24" s="508"/>
      <c r="HF24" s="508"/>
      <c r="HG24" s="508"/>
      <c r="HH24" s="508"/>
      <c r="HI24" s="508"/>
      <c r="HJ24" s="508"/>
      <c r="HK24" s="508"/>
      <c r="HL24" s="508"/>
      <c r="HM24" s="508"/>
      <c r="HN24" s="508"/>
      <c r="HO24" s="508"/>
      <c r="HP24" s="508"/>
      <c r="HQ24" s="508"/>
      <c r="HR24" s="508"/>
      <c r="HS24" s="508"/>
      <c r="HT24" s="508"/>
      <c r="HU24" s="508"/>
      <c r="HV24" s="508"/>
      <c r="HW24" s="508"/>
      <c r="HX24" s="508"/>
      <c r="HY24" s="508"/>
    </row>
    <row r="25" spans="2:233" s="506" customFormat="1">
      <c r="B25" s="524"/>
      <c r="C25" s="524"/>
      <c r="D25" s="525"/>
      <c r="E25" t="s">
        <v>380</v>
      </c>
      <c r="F25" s="493" t="str">
        <f ca="1">_xll.PALO.DATAC("jedoxtest/EU_PM_CUBE02","#_Staatengruppen_und_NUTS","Langbezeichnung",$E25)</f>
        <v>Senegal</v>
      </c>
      <c r="G25" s="494">
        <f ca="1">_xll.PALO.DATAC("jedoxtest/EU_PM_CUBE02","EUPM_Mittel2_Cube",$D$3,"Alle Beteiligungen","Alle Koordinatoren","Alle Unternehmensgrößen","-2","Alle Organisationstypen",28,"Alle Expertevaluierungsstatus","-2","-2",$E25,"-2","Alle","-2",G$4)</f>
        <v>57</v>
      </c>
      <c r="H25" s="494">
        <f ca="1">_xll.PALO.DATAC("jedoxtest/EU_PM_CUBE02","EUPM_Mittel2_Cube",$D$3,"Alle Beteiligungen","Alle Koordinatoren","Alle Unternehmensgrößen","-2","Alle Organisationstypen",28,"Alle Expertevaluierungsstatus","-2","-2",$E25,"-2","Alle","-2",H$4)</f>
        <v>21911606.120000001</v>
      </c>
      <c r="I25" s="495">
        <f t="shared" ca="1" si="0"/>
        <v>4.1484414232793068E-4</v>
      </c>
      <c r="J25" s="495">
        <f t="shared" ca="1" si="1"/>
        <v>3.7586818332920269E-4</v>
      </c>
      <c r="K25" s="508"/>
      <c r="L25" s="488">
        <f ca="1">_xll.PALO.DATAC("jedoxtest/EU_PM_CUBE02","EUPM_Mittel2_Cube",$D$3,"Alle Beteiligungen","Alle Koordinatoren","Alle Unternehmensgrößen","-2","Alle Organisationstypen",28,"Alle Expertevaluierungsstatus","-2","-2",$E25,"-2","Alle","-2",L$4)</f>
        <v>57</v>
      </c>
      <c r="M25" s="488">
        <f ca="1">_xll.PALO.DATAC("jedoxtest/EU_PM_CUBE02","EUPM_Mittel2_Cube",$D$3,"Alle Beteiligungen","Alle Koordinatoren","Alle Unternehmensgrößen","-2","Alle Organisationstypen",28,"Alle Expertevaluierungsstatus","-2","-2",$E25,"-2","Alle","-2",M$4)</f>
        <v>21911606.120000001</v>
      </c>
      <c r="N25" s="488">
        <f ca="1">_xll.PALO.DATAC("jedoxtest/EU_PM_CUBE02","EUPM_Mittel2_Cube",$D$3,"Alle Beteiligungen","Alle Koordinatoren","Alle Unternehmensgrößen","-2","Alle Organisationstypen",28,"Alle Expertevaluierungsstatus","-2","-2",$E25,"-2","Alle","-2",N$4)</f>
        <v>0</v>
      </c>
      <c r="O25" s="489">
        <f t="shared" ca="1" si="2"/>
        <v>4.1484414232793068E-4</v>
      </c>
      <c r="P25" s="489">
        <f t="shared" ca="1" si="3"/>
        <v>3.7586818332920269E-4</v>
      </c>
      <c r="Q25" s="489">
        <f t="shared" ca="1" si="4"/>
        <v>0</v>
      </c>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508"/>
      <c r="BG25" s="508"/>
      <c r="BH25" s="508"/>
      <c r="BI25" s="508"/>
      <c r="BJ25" s="508"/>
      <c r="BK25" s="508"/>
      <c r="BL25" s="508"/>
      <c r="BM25" s="508"/>
      <c r="BN25" s="508"/>
      <c r="BO25" s="508"/>
      <c r="BP25" s="508"/>
      <c r="BQ25" s="508"/>
      <c r="BR25" s="508"/>
      <c r="BS25" s="508"/>
      <c r="BT25" s="508"/>
      <c r="BU25" s="508"/>
      <c r="BV25" s="508"/>
      <c r="BW25" s="508"/>
      <c r="BX25" s="508"/>
      <c r="BY25" s="508"/>
      <c r="BZ25" s="508"/>
      <c r="CA25" s="508"/>
      <c r="CB25" s="508"/>
      <c r="CC25" s="508"/>
      <c r="CD25" s="508"/>
      <c r="CE25" s="508"/>
      <c r="CF25" s="508"/>
      <c r="CG25" s="508"/>
      <c r="CH25" s="508"/>
      <c r="CI25" s="508"/>
      <c r="CJ25" s="508"/>
      <c r="CK25" s="508"/>
      <c r="CL25" s="508"/>
      <c r="CM25" s="508"/>
      <c r="CN25" s="508"/>
      <c r="CO25" s="508"/>
      <c r="CP25" s="508"/>
      <c r="CQ25" s="508"/>
      <c r="CR25" s="508"/>
      <c r="CS25" s="508"/>
      <c r="CT25" s="508"/>
      <c r="CU25" s="508"/>
      <c r="CV25" s="508"/>
      <c r="CW25" s="508"/>
      <c r="CX25" s="508"/>
      <c r="CY25" s="508"/>
      <c r="CZ25" s="508"/>
      <c r="DA25" s="508"/>
      <c r="DB25" s="508"/>
      <c r="DC25" s="508"/>
      <c r="DD25" s="508"/>
      <c r="DE25" s="508"/>
      <c r="DF25" s="508"/>
      <c r="DG25" s="508"/>
      <c r="DH25" s="508"/>
      <c r="DI25" s="508"/>
      <c r="DJ25" s="508"/>
      <c r="DK25" s="508"/>
      <c r="DL25" s="508"/>
      <c r="DM25" s="508"/>
      <c r="DN25" s="508"/>
      <c r="DO25" s="508"/>
      <c r="DP25" s="508"/>
      <c r="DQ25" s="508"/>
      <c r="DR25" s="508"/>
      <c r="DS25" s="508"/>
      <c r="DT25" s="508"/>
      <c r="DU25" s="508"/>
      <c r="DV25" s="508"/>
      <c r="DW25" s="508"/>
      <c r="DX25" s="508"/>
      <c r="DY25" s="508"/>
      <c r="DZ25" s="508"/>
      <c r="EA25" s="508"/>
      <c r="EB25" s="508"/>
      <c r="EC25" s="508"/>
      <c r="ED25" s="508"/>
      <c r="EE25" s="508"/>
      <c r="EF25" s="508"/>
      <c r="EG25" s="508"/>
      <c r="EH25" s="508"/>
      <c r="EI25" s="508"/>
      <c r="EJ25" s="508"/>
      <c r="EK25" s="508"/>
      <c r="EL25" s="508"/>
      <c r="EM25" s="508"/>
      <c r="EN25" s="508"/>
      <c r="EO25" s="508"/>
      <c r="EP25" s="508"/>
      <c r="EQ25" s="508"/>
      <c r="ER25" s="508"/>
      <c r="ES25" s="508"/>
      <c r="ET25" s="508"/>
      <c r="EU25" s="508"/>
      <c r="EV25" s="508"/>
      <c r="EW25" s="508"/>
      <c r="EX25" s="508"/>
      <c r="EY25" s="508"/>
      <c r="EZ25" s="508"/>
      <c r="FA25" s="508"/>
      <c r="FB25" s="508"/>
      <c r="FC25" s="508"/>
      <c r="FD25" s="508"/>
      <c r="FE25" s="508"/>
      <c r="FF25" s="508"/>
      <c r="FG25" s="508"/>
      <c r="FH25" s="508"/>
      <c r="FI25" s="508"/>
      <c r="FJ25" s="508"/>
      <c r="FK25" s="508"/>
      <c r="FL25" s="508"/>
      <c r="FM25" s="508"/>
      <c r="FN25" s="508"/>
      <c r="FO25" s="508"/>
      <c r="FP25" s="508"/>
      <c r="FQ25" s="508"/>
      <c r="FR25" s="508"/>
      <c r="FS25" s="508"/>
      <c r="FT25" s="508"/>
      <c r="FU25" s="508"/>
      <c r="FV25" s="508"/>
      <c r="FW25" s="508"/>
      <c r="FX25" s="508"/>
      <c r="FY25" s="508"/>
      <c r="FZ25" s="508"/>
      <c r="GA25" s="508"/>
      <c r="GB25" s="508"/>
      <c r="GC25" s="508"/>
      <c r="GD25" s="508"/>
      <c r="GE25" s="508"/>
      <c r="GF25" s="508"/>
      <c r="GG25" s="508"/>
      <c r="GH25" s="508"/>
      <c r="GI25" s="508"/>
      <c r="GJ25" s="508"/>
      <c r="GK25" s="508"/>
      <c r="GL25" s="508"/>
      <c r="GM25" s="508"/>
      <c r="GN25" s="508"/>
      <c r="GO25" s="508"/>
      <c r="GP25" s="508"/>
      <c r="GQ25" s="508"/>
      <c r="GR25" s="508"/>
      <c r="GS25" s="508"/>
      <c r="GT25" s="508"/>
      <c r="GU25" s="508"/>
      <c r="GV25" s="508"/>
      <c r="GW25" s="508"/>
      <c r="GX25" s="508"/>
      <c r="GY25" s="508"/>
      <c r="GZ25" s="508"/>
      <c r="HA25" s="508"/>
      <c r="HB25" s="508"/>
      <c r="HC25" s="508"/>
      <c r="HD25" s="508"/>
      <c r="HE25" s="508"/>
      <c r="HF25" s="508"/>
      <c r="HG25" s="508"/>
      <c r="HH25" s="508"/>
      <c r="HI25" s="508"/>
      <c r="HJ25" s="508"/>
      <c r="HK25" s="508"/>
      <c r="HL25" s="508"/>
      <c r="HM25" s="508"/>
      <c r="HN25" s="508"/>
      <c r="HO25" s="508"/>
      <c r="HP25" s="508"/>
      <c r="HQ25" s="508"/>
      <c r="HR25" s="508"/>
      <c r="HS25" s="508"/>
      <c r="HT25" s="508"/>
      <c r="HU25" s="508"/>
      <c r="HV25" s="508"/>
      <c r="HW25" s="508"/>
      <c r="HX25" s="508"/>
      <c r="HY25" s="508"/>
    </row>
    <row r="26" spans="2:233" s="506" customFormat="1">
      <c r="B26" s="524"/>
      <c r="C26" s="524"/>
      <c r="D26" s="525"/>
      <c r="E26" t="s">
        <v>383</v>
      </c>
      <c r="F26" s="493" t="str">
        <f ca="1">_xll.PALO.DATAC("jedoxtest/EU_PM_CUBE02","#_Staatengruppen_und_NUTS","Langbezeichnung",$E26)</f>
        <v>Mozambique</v>
      </c>
      <c r="G26" s="494">
        <f ca="1">_xll.PALO.DATAC("jedoxtest/EU_PM_CUBE02","EUPM_Mittel2_Cube",$D$3,"Alle Beteiligungen","Alle Koordinatoren","Alle Unternehmensgrößen","-2","Alle Organisationstypen",28,"Alle Expertevaluierungsstatus","-2","-2",$E26,"-2","Alle","-2",G$4)</f>
        <v>51</v>
      </c>
      <c r="H26" s="494">
        <f ca="1">_xll.PALO.DATAC("jedoxtest/EU_PM_CUBE02","EUPM_Mittel2_Cube",$D$3,"Alle Beteiligungen","Alle Koordinatoren","Alle Unternehmensgrößen","-2","Alle Organisationstypen",28,"Alle Expertevaluierungsstatus","-2","-2",$E26,"-2","Alle","-2",H$4)</f>
        <v>22928737.550000001</v>
      </c>
      <c r="I26" s="495">
        <f t="shared" ca="1" si="0"/>
        <v>3.7117633787235902E-4</v>
      </c>
      <c r="J26" s="495">
        <f t="shared" ca="1" si="1"/>
        <v>3.9331589303644225E-4</v>
      </c>
      <c r="K26" s="508"/>
      <c r="L26" s="488">
        <f ca="1">_xll.PALO.DATAC("jedoxtest/EU_PM_CUBE02","EUPM_Mittel2_Cube",$D$3,"Alle Beteiligungen","Alle Koordinatoren","Alle Unternehmensgrößen","-2","Alle Organisationstypen",28,"Alle Expertevaluierungsstatus","-2","-2",$E26,"-2","Alle","-2",L$4)</f>
        <v>51</v>
      </c>
      <c r="M26" s="488">
        <f ca="1">_xll.PALO.DATAC("jedoxtest/EU_PM_CUBE02","EUPM_Mittel2_Cube",$D$3,"Alle Beteiligungen","Alle Koordinatoren","Alle Unternehmensgrößen","-2","Alle Organisationstypen",28,"Alle Expertevaluierungsstatus","-2","-2",$E26,"-2","Alle","-2",M$4)</f>
        <v>22928737.550000001</v>
      </c>
      <c r="N26" s="488">
        <f ca="1">_xll.PALO.DATAC("jedoxtest/EU_PM_CUBE02","EUPM_Mittel2_Cube",$D$3,"Alle Beteiligungen","Alle Koordinatoren","Alle Unternehmensgrößen","-2","Alle Organisationstypen",28,"Alle Expertevaluierungsstatus","-2","-2",$E26,"-2","Alle","-2",N$4)</f>
        <v>0</v>
      </c>
      <c r="O26" s="489">
        <f t="shared" ca="1" si="2"/>
        <v>3.7117633787235902E-4</v>
      </c>
      <c r="P26" s="489">
        <f t="shared" ca="1" si="3"/>
        <v>3.9331589303644225E-4</v>
      </c>
      <c r="Q26" s="489">
        <f t="shared" ca="1" si="4"/>
        <v>0</v>
      </c>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c r="BE26" s="508"/>
      <c r="BF26" s="508"/>
      <c r="BG26" s="508"/>
      <c r="BH26" s="508"/>
      <c r="BI26" s="508"/>
      <c r="BJ26" s="508"/>
      <c r="BK26" s="508"/>
      <c r="BL26" s="508"/>
      <c r="BM26" s="508"/>
      <c r="BN26" s="508"/>
      <c r="BO26" s="508"/>
      <c r="BP26" s="508"/>
      <c r="BQ26" s="508"/>
      <c r="BR26" s="508"/>
      <c r="BS26" s="508"/>
      <c r="BT26" s="508"/>
      <c r="BU26" s="508"/>
      <c r="BV26" s="508"/>
      <c r="BW26" s="508"/>
      <c r="BX26" s="508"/>
      <c r="BY26" s="508"/>
      <c r="BZ26" s="508"/>
      <c r="CA26" s="508"/>
      <c r="CB26" s="508"/>
      <c r="CC26" s="508"/>
      <c r="CD26" s="508"/>
      <c r="CE26" s="508"/>
      <c r="CF26" s="508"/>
      <c r="CG26" s="508"/>
      <c r="CH26" s="508"/>
      <c r="CI26" s="508"/>
      <c r="CJ26" s="508"/>
      <c r="CK26" s="508"/>
      <c r="CL26" s="508"/>
      <c r="CM26" s="508"/>
      <c r="CN26" s="508"/>
      <c r="CO26" s="508"/>
      <c r="CP26" s="508"/>
      <c r="CQ26" s="508"/>
      <c r="CR26" s="508"/>
      <c r="CS26" s="508"/>
      <c r="CT26" s="508"/>
      <c r="CU26" s="508"/>
      <c r="CV26" s="508"/>
      <c r="CW26" s="508"/>
      <c r="CX26" s="508"/>
      <c r="CY26" s="508"/>
      <c r="CZ26" s="508"/>
      <c r="DA26" s="508"/>
      <c r="DB26" s="508"/>
      <c r="DC26" s="508"/>
      <c r="DD26" s="508"/>
      <c r="DE26" s="508"/>
      <c r="DF26" s="508"/>
      <c r="DG26" s="508"/>
      <c r="DH26" s="508"/>
      <c r="DI26" s="508"/>
      <c r="DJ26" s="508"/>
      <c r="DK26" s="508"/>
      <c r="DL26" s="508"/>
      <c r="DM26" s="508"/>
      <c r="DN26" s="508"/>
      <c r="DO26" s="508"/>
      <c r="DP26" s="508"/>
      <c r="DQ26" s="508"/>
      <c r="DR26" s="508"/>
      <c r="DS26" s="508"/>
      <c r="DT26" s="508"/>
      <c r="DU26" s="508"/>
      <c r="DV26" s="508"/>
      <c r="DW26" s="508"/>
      <c r="DX26" s="508"/>
      <c r="DY26" s="508"/>
      <c r="DZ26" s="508"/>
      <c r="EA26" s="508"/>
      <c r="EB26" s="508"/>
      <c r="EC26" s="508"/>
      <c r="ED26" s="508"/>
      <c r="EE26" s="508"/>
      <c r="EF26" s="508"/>
      <c r="EG26" s="508"/>
      <c r="EH26" s="508"/>
      <c r="EI26" s="508"/>
      <c r="EJ26" s="508"/>
      <c r="EK26" s="508"/>
      <c r="EL26" s="508"/>
      <c r="EM26" s="508"/>
      <c r="EN26" s="508"/>
      <c r="EO26" s="508"/>
      <c r="EP26" s="508"/>
      <c r="EQ26" s="508"/>
      <c r="ER26" s="508"/>
      <c r="ES26" s="508"/>
      <c r="ET26" s="508"/>
      <c r="EU26" s="508"/>
      <c r="EV26" s="508"/>
      <c r="EW26" s="508"/>
      <c r="EX26" s="508"/>
      <c r="EY26" s="508"/>
      <c r="EZ26" s="508"/>
      <c r="FA26" s="508"/>
      <c r="FB26" s="508"/>
      <c r="FC26" s="508"/>
      <c r="FD26" s="508"/>
      <c r="FE26" s="508"/>
      <c r="FF26" s="508"/>
      <c r="FG26" s="508"/>
      <c r="FH26" s="508"/>
      <c r="FI26" s="508"/>
      <c r="FJ26" s="508"/>
      <c r="FK26" s="508"/>
      <c r="FL26" s="508"/>
      <c r="FM26" s="508"/>
      <c r="FN26" s="508"/>
      <c r="FO26" s="508"/>
      <c r="FP26" s="508"/>
      <c r="FQ26" s="508"/>
      <c r="FR26" s="508"/>
      <c r="FS26" s="508"/>
      <c r="FT26" s="508"/>
      <c r="FU26" s="508"/>
      <c r="FV26" s="508"/>
      <c r="FW26" s="508"/>
      <c r="FX26" s="508"/>
      <c r="FY26" s="508"/>
      <c r="FZ26" s="508"/>
      <c r="GA26" s="508"/>
      <c r="GB26" s="508"/>
      <c r="GC26" s="508"/>
      <c r="GD26" s="508"/>
      <c r="GE26" s="508"/>
      <c r="GF26" s="508"/>
      <c r="GG26" s="508"/>
      <c r="GH26" s="508"/>
      <c r="GI26" s="508"/>
      <c r="GJ26" s="508"/>
      <c r="GK26" s="508"/>
      <c r="GL26" s="508"/>
      <c r="GM26" s="508"/>
      <c r="GN26" s="508"/>
      <c r="GO26" s="508"/>
      <c r="GP26" s="508"/>
      <c r="GQ26" s="508"/>
      <c r="GR26" s="508"/>
      <c r="GS26" s="508"/>
      <c r="GT26" s="508"/>
      <c r="GU26" s="508"/>
      <c r="GV26" s="508"/>
      <c r="GW26" s="508"/>
      <c r="GX26" s="508"/>
      <c r="GY26" s="508"/>
      <c r="GZ26" s="508"/>
      <c r="HA26" s="508"/>
      <c r="HB26" s="508"/>
      <c r="HC26" s="508"/>
      <c r="HD26" s="508"/>
      <c r="HE26" s="508"/>
      <c r="HF26" s="508"/>
      <c r="HG26" s="508"/>
      <c r="HH26" s="508"/>
      <c r="HI26" s="508"/>
      <c r="HJ26" s="508"/>
      <c r="HK26" s="508"/>
      <c r="HL26" s="508"/>
      <c r="HM26" s="508"/>
      <c r="HN26" s="508"/>
      <c r="HO26" s="508"/>
      <c r="HP26" s="508"/>
      <c r="HQ26" s="508"/>
      <c r="HR26" s="508"/>
      <c r="HS26" s="508"/>
      <c r="HT26" s="508"/>
      <c r="HU26" s="508"/>
      <c r="HV26" s="508"/>
      <c r="HW26" s="508"/>
      <c r="HX26" s="508"/>
      <c r="HY26" s="508"/>
    </row>
    <row r="27" spans="2:233" s="506" customFormat="1">
      <c r="B27" s="524"/>
      <c r="C27" s="524"/>
      <c r="D27" s="525"/>
      <c r="E27" t="s">
        <v>382</v>
      </c>
      <c r="F27" s="493" t="str">
        <f ca="1">_xll.PALO.DATAC("jedoxtest/EU_PM_CUBE02","#_Staatengruppen_und_NUTS","Langbezeichnung",$E27)</f>
        <v>Congo (Democratic Republic of)</v>
      </c>
      <c r="G27" s="494">
        <f ca="1">_xll.PALO.DATAC("jedoxtest/EU_PM_CUBE02","EUPM_Mittel2_Cube",$D$3,"Alle Beteiligungen","Alle Koordinatoren","Alle Unternehmensgrößen","-2","Alle Organisationstypen",28,"Alle Expertevaluierungsstatus","-2","-2",$E27,"-2","Alle","-2",G$4)</f>
        <v>49</v>
      </c>
      <c r="H27" s="494">
        <f ca="1">_xll.PALO.DATAC("jedoxtest/EU_PM_CUBE02","EUPM_Mittel2_Cube",$D$3,"Alle Beteiligungen","Alle Koordinatoren","Alle Unternehmensgrößen","-2","Alle Organisationstypen",28,"Alle Expertevaluierungsstatus","-2","-2",$E27,"-2","Alle","-2",H$4)</f>
        <v>20585876.960000001</v>
      </c>
      <c r="I27" s="495">
        <f t="shared" ca="1" si="0"/>
        <v>3.5662040305383514E-4</v>
      </c>
      <c r="J27" s="495">
        <f t="shared" ca="1" si="1"/>
        <v>3.5312683756811203E-4</v>
      </c>
      <c r="K27" s="508"/>
      <c r="L27" s="488">
        <f ca="1">_xll.PALO.DATAC("jedoxtest/EU_PM_CUBE02","EUPM_Mittel2_Cube",$D$3,"Alle Beteiligungen","Alle Koordinatoren","Alle Unternehmensgrößen","-2","Alle Organisationstypen",28,"Alle Expertevaluierungsstatus","-2","-2",$E27,"-2","Alle","-2",L$4)</f>
        <v>49</v>
      </c>
      <c r="M27" s="488">
        <f ca="1">_xll.PALO.DATAC("jedoxtest/EU_PM_CUBE02","EUPM_Mittel2_Cube",$D$3,"Alle Beteiligungen","Alle Koordinatoren","Alle Unternehmensgrößen","-2","Alle Organisationstypen",28,"Alle Expertevaluierungsstatus","-2","-2",$E27,"-2","Alle","-2",M$4)</f>
        <v>20585876.960000001</v>
      </c>
      <c r="N27" s="488">
        <f ca="1">_xll.PALO.DATAC("jedoxtest/EU_PM_CUBE02","EUPM_Mittel2_Cube",$D$3,"Alle Beteiligungen","Alle Koordinatoren","Alle Unternehmensgrößen","-2","Alle Organisationstypen",28,"Alle Expertevaluierungsstatus","-2","-2",$E27,"-2","Alle","-2",N$4)</f>
        <v>0</v>
      </c>
      <c r="O27" s="489">
        <f t="shared" ca="1" si="2"/>
        <v>3.5662040305383514E-4</v>
      </c>
      <c r="P27" s="489">
        <f t="shared" ca="1" si="3"/>
        <v>3.5312683756811203E-4</v>
      </c>
      <c r="Q27" s="489">
        <f t="shared" ca="1" si="4"/>
        <v>0</v>
      </c>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c r="AT27" s="508"/>
      <c r="AU27" s="508"/>
      <c r="AV27" s="508"/>
      <c r="AW27" s="508"/>
      <c r="AX27" s="508"/>
      <c r="AY27" s="508"/>
      <c r="AZ27" s="508"/>
      <c r="BA27" s="508"/>
      <c r="BB27" s="508"/>
      <c r="BC27" s="508"/>
      <c r="BD27" s="508"/>
      <c r="BE27" s="508"/>
      <c r="BF27" s="508"/>
      <c r="BG27" s="508"/>
      <c r="BH27" s="508"/>
      <c r="BI27" s="508"/>
      <c r="BJ27" s="508"/>
      <c r="BK27" s="508"/>
      <c r="BL27" s="508"/>
      <c r="BM27" s="508"/>
      <c r="BN27" s="508"/>
      <c r="BO27" s="508"/>
      <c r="BP27" s="508"/>
      <c r="BQ27" s="508"/>
      <c r="BR27" s="508"/>
      <c r="BS27" s="508"/>
      <c r="BT27" s="508"/>
      <c r="BU27" s="508"/>
      <c r="BV27" s="508"/>
      <c r="BW27" s="508"/>
      <c r="BX27" s="508"/>
      <c r="BY27" s="508"/>
      <c r="BZ27" s="508"/>
      <c r="CA27" s="508"/>
      <c r="CB27" s="508"/>
      <c r="CC27" s="508"/>
      <c r="CD27" s="508"/>
      <c r="CE27" s="508"/>
      <c r="CF27" s="508"/>
      <c r="CG27" s="508"/>
      <c r="CH27" s="508"/>
      <c r="CI27" s="508"/>
      <c r="CJ27" s="508"/>
      <c r="CK27" s="508"/>
      <c r="CL27" s="508"/>
      <c r="CM27" s="508"/>
      <c r="CN27" s="508"/>
      <c r="CO27" s="508"/>
      <c r="CP27" s="508"/>
      <c r="CQ27" s="508"/>
      <c r="CR27" s="508"/>
      <c r="CS27" s="508"/>
      <c r="CT27" s="508"/>
      <c r="CU27" s="508"/>
      <c r="CV27" s="508"/>
      <c r="CW27" s="508"/>
      <c r="CX27" s="508"/>
      <c r="CY27" s="508"/>
      <c r="CZ27" s="508"/>
      <c r="DA27" s="508"/>
      <c r="DB27" s="508"/>
      <c r="DC27" s="508"/>
      <c r="DD27" s="508"/>
      <c r="DE27" s="508"/>
      <c r="DF27" s="508"/>
      <c r="DG27" s="508"/>
      <c r="DH27" s="508"/>
      <c r="DI27" s="508"/>
      <c r="DJ27" s="508"/>
      <c r="DK27" s="508"/>
      <c r="DL27" s="508"/>
      <c r="DM27" s="508"/>
      <c r="DN27" s="508"/>
      <c r="DO27" s="508"/>
      <c r="DP27" s="508"/>
      <c r="DQ27" s="508"/>
      <c r="DR27" s="508"/>
      <c r="DS27" s="508"/>
      <c r="DT27" s="508"/>
      <c r="DU27" s="508"/>
      <c r="DV27" s="508"/>
      <c r="DW27" s="508"/>
      <c r="DX27" s="508"/>
      <c r="DY27" s="508"/>
      <c r="DZ27" s="508"/>
      <c r="EA27" s="508"/>
      <c r="EB27" s="508"/>
      <c r="EC27" s="508"/>
      <c r="ED27" s="508"/>
      <c r="EE27" s="508"/>
      <c r="EF27" s="508"/>
      <c r="EG27" s="508"/>
      <c r="EH27" s="508"/>
      <c r="EI27" s="508"/>
      <c r="EJ27" s="508"/>
      <c r="EK27" s="508"/>
      <c r="EL27" s="508"/>
      <c r="EM27" s="508"/>
      <c r="EN27" s="508"/>
      <c r="EO27" s="508"/>
      <c r="EP27" s="508"/>
      <c r="EQ27" s="508"/>
      <c r="ER27" s="508"/>
      <c r="ES27" s="508"/>
      <c r="ET27" s="508"/>
      <c r="EU27" s="508"/>
      <c r="EV27" s="508"/>
      <c r="EW27" s="508"/>
      <c r="EX27" s="508"/>
      <c r="EY27" s="508"/>
      <c r="EZ27" s="508"/>
      <c r="FA27" s="508"/>
      <c r="FB27" s="508"/>
      <c r="FC27" s="508"/>
      <c r="FD27" s="508"/>
      <c r="FE27" s="508"/>
      <c r="FF27" s="508"/>
      <c r="FG27" s="508"/>
      <c r="FH27" s="508"/>
      <c r="FI27" s="508"/>
      <c r="FJ27" s="508"/>
      <c r="FK27" s="508"/>
      <c r="FL27" s="508"/>
      <c r="FM27" s="508"/>
      <c r="FN27" s="508"/>
      <c r="FO27" s="508"/>
      <c r="FP27" s="508"/>
      <c r="FQ27" s="508"/>
      <c r="FR27" s="508"/>
      <c r="FS27" s="508"/>
      <c r="FT27" s="508"/>
      <c r="FU27" s="508"/>
      <c r="FV27" s="508"/>
      <c r="FW27" s="508"/>
      <c r="FX27" s="508"/>
      <c r="FY27" s="508"/>
      <c r="FZ27" s="508"/>
      <c r="GA27" s="508"/>
      <c r="GB27" s="508"/>
      <c r="GC27" s="508"/>
      <c r="GD27" s="508"/>
      <c r="GE27" s="508"/>
      <c r="GF27" s="508"/>
      <c r="GG27" s="508"/>
      <c r="GH27" s="508"/>
      <c r="GI27" s="508"/>
      <c r="GJ27" s="508"/>
      <c r="GK27" s="508"/>
      <c r="GL27" s="508"/>
      <c r="GM27" s="508"/>
      <c r="GN27" s="508"/>
      <c r="GO27" s="508"/>
      <c r="GP27" s="508"/>
      <c r="GQ27" s="508"/>
      <c r="GR27" s="508"/>
      <c r="GS27" s="508"/>
      <c r="GT27" s="508"/>
      <c r="GU27" s="508"/>
      <c r="GV27" s="508"/>
      <c r="GW27" s="508"/>
      <c r="GX27" s="508"/>
      <c r="GY27" s="508"/>
      <c r="GZ27" s="508"/>
      <c r="HA27" s="508"/>
      <c r="HB27" s="508"/>
      <c r="HC27" s="508"/>
      <c r="HD27" s="508"/>
      <c r="HE27" s="508"/>
      <c r="HF27" s="508"/>
      <c r="HG27" s="508"/>
      <c r="HH27" s="508"/>
      <c r="HI27" s="508"/>
      <c r="HJ27" s="508"/>
      <c r="HK27" s="508"/>
      <c r="HL27" s="508"/>
      <c r="HM27" s="508"/>
      <c r="HN27" s="508"/>
      <c r="HO27" s="508"/>
      <c r="HP27" s="508"/>
      <c r="HQ27" s="508"/>
      <c r="HR27" s="508"/>
      <c r="HS27" s="508"/>
      <c r="HT27" s="508"/>
      <c r="HU27" s="508"/>
      <c r="HV27" s="508"/>
      <c r="HW27" s="508"/>
      <c r="HX27" s="508"/>
      <c r="HY27" s="508"/>
    </row>
    <row r="28" spans="2:233" s="506" customFormat="1">
      <c r="B28" s="524"/>
      <c r="C28" s="524"/>
      <c r="D28" s="525"/>
      <c r="E28" t="s">
        <v>389</v>
      </c>
      <c r="F28" s="493" t="str">
        <f ca="1">_xll.PALO.DATAC("jedoxtest/EU_PM_CUBE02","#_Staatengruppen_und_NUTS","Langbezeichnung",$E28)</f>
        <v>Singapore</v>
      </c>
      <c r="G28" s="494">
        <f ca="1">_xll.PALO.DATAC("jedoxtest/EU_PM_CUBE02","EUPM_Mittel2_Cube",$D$3,"Alle Beteiligungen","Alle Koordinatoren","Alle Unternehmensgrößen","-2","Alle Organisationstypen",28,"Alle Expertevaluierungsstatus","-2","-2",$E28,"-2","Alle","-2",G$4)</f>
        <v>49</v>
      </c>
      <c r="H28" s="494">
        <f ca="1">_xll.PALO.DATAC("jedoxtest/EU_PM_CUBE02","EUPM_Mittel2_Cube",$D$3,"Alle Beteiligungen","Alle Koordinatoren","Alle Unternehmensgrößen","-2","Alle Organisationstypen",28,"Alle Expertevaluierungsstatus","-2","-2",$E28,"-2","Alle","-2",H$4)</f>
        <v>2531065</v>
      </c>
      <c r="I28" s="495">
        <f t="shared" ca="1" si="0"/>
        <v>3.5662040305383514E-4</v>
      </c>
      <c r="J28" s="495">
        <f t="shared" ca="1" si="1"/>
        <v>4.3417483785900054E-5</v>
      </c>
      <c r="K28" s="508"/>
      <c r="L28" s="488">
        <f ca="1">_xll.PALO.DATAC("jedoxtest/EU_PM_CUBE02","EUPM_Mittel2_Cube",$D$3,"Alle Beteiligungen","Alle Koordinatoren","Alle Unternehmensgrößen","-2","Alle Organisationstypen",28,"Alle Expertevaluierungsstatus","-2","-2",$E28,"-2","Alle","-2",L$4)</f>
        <v>49</v>
      </c>
      <c r="M28" s="488">
        <f ca="1">_xll.PALO.DATAC("jedoxtest/EU_PM_CUBE02","EUPM_Mittel2_Cube",$D$3,"Alle Beteiligungen","Alle Koordinatoren","Alle Unternehmensgrößen","-2","Alle Organisationstypen",28,"Alle Expertevaluierungsstatus","-2","-2",$E28,"-2","Alle","-2",M$4)</f>
        <v>2531065</v>
      </c>
      <c r="N28" s="488">
        <f ca="1">_xll.PALO.DATAC("jedoxtest/EU_PM_CUBE02","EUPM_Mittel2_Cube",$D$3,"Alle Beteiligungen","Alle Koordinatoren","Alle Unternehmensgrößen","-2","Alle Organisationstypen",28,"Alle Expertevaluierungsstatus","-2","-2",$E28,"-2","Alle","-2",N$4)</f>
        <v>0</v>
      </c>
      <c r="O28" s="489">
        <f t="shared" ca="1" si="2"/>
        <v>3.5662040305383514E-4</v>
      </c>
      <c r="P28" s="489">
        <f t="shared" ca="1" si="3"/>
        <v>4.3417483785900054E-5</v>
      </c>
      <c r="Q28" s="489">
        <f t="shared" ca="1" si="4"/>
        <v>0</v>
      </c>
      <c r="R28" s="508"/>
      <c r="S28" s="508"/>
      <c r="T28" s="508"/>
      <c r="U28" s="508"/>
      <c r="V28" s="508"/>
      <c r="W28" s="508"/>
      <c r="X28" s="508"/>
      <c r="Y28" s="508"/>
      <c r="Z28" s="508"/>
      <c r="AA28" s="508"/>
      <c r="AB28" s="508"/>
      <c r="AC28" s="508"/>
      <c r="AD28" s="508"/>
      <c r="AE28" s="508"/>
      <c r="AF28" s="508"/>
      <c r="AG28" s="508"/>
      <c r="AH28" s="508"/>
      <c r="AI28" s="508"/>
      <c r="AJ28" s="508"/>
      <c r="AK28" s="508"/>
      <c r="AL28" s="508"/>
      <c r="AM28" s="508"/>
      <c r="AN28" s="508"/>
      <c r="AO28" s="508"/>
      <c r="AP28" s="508"/>
      <c r="AQ28" s="508"/>
      <c r="AR28" s="508"/>
      <c r="AS28" s="508"/>
      <c r="AT28" s="508"/>
      <c r="AU28" s="508"/>
      <c r="AV28" s="508"/>
      <c r="AW28" s="508"/>
      <c r="AX28" s="508"/>
      <c r="AY28" s="508"/>
      <c r="AZ28" s="508"/>
      <c r="BA28" s="508"/>
      <c r="BB28" s="508"/>
      <c r="BC28" s="508"/>
      <c r="BD28" s="508"/>
      <c r="BE28" s="508"/>
      <c r="BF28" s="508"/>
      <c r="BG28" s="508"/>
      <c r="BH28" s="508"/>
      <c r="BI28" s="508"/>
      <c r="BJ28" s="508"/>
      <c r="BK28" s="508"/>
      <c r="BL28" s="508"/>
      <c r="BM28" s="508"/>
      <c r="BN28" s="508"/>
      <c r="BO28" s="508"/>
      <c r="BP28" s="508"/>
      <c r="BQ28" s="508"/>
      <c r="BR28" s="508"/>
      <c r="BS28" s="508"/>
      <c r="BT28" s="508"/>
      <c r="BU28" s="508"/>
      <c r="BV28" s="508"/>
      <c r="BW28" s="508"/>
      <c r="BX28" s="508"/>
      <c r="BY28" s="508"/>
      <c r="BZ28" s="508"/>
      <c r="CA28" s="508"/>
      <c r="CB28" s="508"/>
      <c r="CC28" s="508"/>
      <c r="CD28" s="508"/>
      <c r="CE28" s="508"/>
      <c r="CF28" s="508"/>
      <c r="CG28" s="508"/>
      <c r="CH28" s="508"/>
      <c r="CI28" s="508"/>
      <c r="CJ28" s="508"/>
      <c r="CK28" s="508"/>
      <c r="CL28" s="508"/>
      <c r="CM28" s="508"/>
      <c r="CN28" s="508"/>
      <c r="CO28" s="508"/>
      <c r="CP28" s="508"/>
      <c r="CQ28" s="508"/>
      <c r="CR28" s="508"/>
      <c r="CS28" s="508"/>
      <c r="CT28" s="508"/>
      <c r="CU28" s="508"/>
      <c r="CV28" s="508"/>
      <c r="CW28" s="508"/>
      <c r="CX28" s="508"/>
      <c r="CY28" s="508"/>
      <c r="CZ28" s="508"/>
      <c r="DA28" s="508"/>
      <c r="DB28" s="508"/>
      <c r="DC28" s="508"/>
      <c r="DD28" s="508"/>
      <c r="DE28" s="508"/>
      <c r="DF28" s="508"/>
      <c r="DG28" s="508"/>
      <c r="DH28" s="508"/>
      <c r="DI28" s="508"/>
      <c r="DJ28" s="508"/>
      <c r="DK28" s="508"/>
      <c r="DL28" s="508"/>
      <c r="DM28" s="508"/>
      <c r="DN28" s="508"/>
      <c r="DO28" s="508"/>
      <c r="DP28" s="508"/>
      <c r="DQ28" s="508"/>
      <c r="DR28" s="508"/>
      <c r="DS28" s="508"/>
      <c r="DT28" s="508"/>
      <c r="DU28" s="508"/>
      <c r="DV28" s="508"/>
      <c r="DW28" s="508"/>
      <c r="DX28" s="508"/>
      <c r="DY28" s="508"/>
      <c r="DZ28" s="508"/>
      <c r="EA28" s="508"/>
      <c r="EB28" s="508"/>
      <c r="EC28" s="508"/>
      <c r="ED28" s="508"/>
      <c r="EE28" s="508"/>
      <c r="EF28" s="508"/>
      <c r="EG28" s="508"/>
      <c r="EH28" s="508"/>
      <c r="EI28" s="508"/>
      <c r="EJ28" s="508"/>
      <c r="EK28" s="508"/>
      <c r="EL28" s="508"/>
      <c r="EM28" s="508"/>
      <c r="EN28" s="508"/>
      <c r="EO28" s="508"/>
      <c r="EP28" s="508"/>
      <c r="EQ28" s="508"/>
      <c r="ER28" s="508"/>
      <c r="ES28" s="508"/>
      <c r="ET28" s="508"/>
      <c r="EU28" s="508"/>
      <c r="EV28" s="508"/>
      <c r="EW28" s="508"/>
      <c r="EX28" s="508"/>
      <c r="EY28" s="508"/>
      <c r="EZ28" s="508"/>
      <c r="FA28" s="508"/>
      <c r="FB28" s="508"/>
      <c r="FC28" s="508"/>
      <c r="FD28" s="508"/>
      <c r="FE28" s="508"/>
      <c r="FF28" s="508"/>
      <c r="FG28" s="508"/>
      <c r="FH28" s="508"/>
      <c r="FI28" s="508"/>
      <c r="FJ28" s="508"/>
      <c r="FK28" s="508"/>
      <c r="FL28" s="508"/>
      <c r="FM28" s="508"/>
      <c r="FN28" s="508"/>
      <c r="FO28" s="508"/>
      <c r="FP28" s="508"/>
      <c r="FQ28" s="508"/>
      <c r="FR28" s="508"/>
      <c r="FS28" s="508"/>
      <c r="FT28" s="508"/>
      <c r="FU28" s="508"/>
      <c r="FV28" s="508"/>
      <c r="FW28" s="508"/>
      <c r="FX28" s="508"/>
      <c r="FY28" s="508"/>
      <c r="FZ28" s="508"/>
      <c r="GA28" s="508"/>
      <c r="GB28" s="508"/>
      <c r="GC28" s="508"/>
      <c r="GD28" s="508"/>
      <c r="GE28" s="508"/>
      <c r="GF28" s="508"/>
      <c r="GG28" s="508"/>
      <c r="GH28" s="508"/>
      <c r="GI28" s="508"/>
      <c r="GJ28" s="508"/>
      <c r="GK28" s="508"/>
      <c r="GL28" s="508"/>
      <c r="GM28" s="508"/>
      <c r="GN28" s="508"/>
      <c r="GO28" s="508"/>
      <c r="GP28" s="508"/>
      <c r="GQ28" s="508"/>
      <c r="GR28" s="508"/>
      <c r="GS28" s="508"/>
      <c r="GT28" s="508"/>
      <c r="GU28" s="508"/>
      <c r="GV28" s="508"/>
      <c r="GW28" s="508"/>
      <c r="GX28" s="508"/>
      <c r="GY28" s="508"/>
      <c r="GZ28" s="508"/>
      <c r="HA28" s="508"/>
      <c r="HB28" s="508"/>
      <c r="HC28" s="508"/>
      <c r="HD28" s="508"/>
      <c r="HE28" s="508"/>
      <c r="HF28" s="508"/>
      <c r="HG28" s="508"/>
      <c r="HH28" s="508"/>
      <c r="HI28" s="508"/>
      <c r="HJ28" s="508"/>
      <c r="HK28" s="508"/>
      <c r="HL28" s="508"/>
      <c r="HM28" s="508"/>
      <c r="HN28" s="508"/>
      <c r="HO28" s="508"/>
      <c r="HP28" s="508"/>
      <c r="HQ28" s="508"/>
      <c r="HR28" s="508"/>
      <c r="HS28" s="508"/>
      <c r="HT28" s="508"/>
      <c r="HU28" s="508"/>
      <c r="HV28" s="508"/>
      <c r="HW28" s="508"/>
      <c r="HX28" s="508"/>
      <c r="HY28" s="508"/>
    </row>
    <row r="29" spans="2:233" s="506" customFormat="1">
      <c r="B29" s="524"/>
      <c r="C29" s="524"/>
      <c r="D29" s="525"/>
      <c r="E29" t="s">
        <v>396</v>
      </c>
      <c r="F29" s="493" t="str">
        <f ca="1">_xll.PALO.DATAC("jedoxtest/EU_PM_CUBE02","#_Staatengruppen_und_NUTS","Langbezeichnung",$E29)</f>
        <v>Uzbekistan</v>
      </c>
      <c r="G29" s="494">
        <f ca="1">_xll.PALO.DATAC("jedoxtest/EU_PM_CUBE02","EUPM_Mittel2_Cube",$D$3,"Alle Beteiligungen","Alle Koordinatoren","Alle Unternehmensgrößen","-2","Alle Organisationstypen",28,"Alle Expertevaluierungsstatus","-2","-2",$E29,"-2","Alle","-2",G$4)</f>
        <v>47</v>
      </c>
      <c r="H29" s="494">
        <f ca="1">_xll.PALO.DATAC("jedoxtest/EU_PM_CUBE02","EUPM_Mittel2_Cube",$D$3,"Alle Beteiligungen","Alle Koordinatoren","Alle Unternehmensgrößen","-2","Alle Organisationstypen",28,"Alle Expertevaluierungsstatus","-2","-2",$E29,"-2","Alle","-2",H$4)</f>
        <v>666500</v>
      </c>
      <c r="I29" s="495">
        <f t="shared" ca="1" si="0"/>
        <v>3.4206446823531125E-4</v>
      </c>
      <c r="J29" s="495">
        <f t="shared" ca="1" si="1"/>
        <v>1.1433034293193728E-5</v>
      </c>
      <c r="K29" s="508"/>
      <c r="L29" s="488">
        <f ca="1">_xll.PALO.DATAC("jedoxtest/EU_PM_CUBE02","EUPM_Mittel2_Cube",$D$3,"Alle Beteiligungen","Alle Koordinatoren","Alle Unternehmensgrößen","-2","Alle Organisationstypen",28,"Alle Expertevaluierungsstatus","-2","-2",$E29,"-2","Alle","-2",L$4)</f>
        <v>47</v>
      </c>
      <c r="M29" s="488">
        <f ca="1">_xll.PALO.DATAC("jedoxtest/EU_PM_CUBE02","EUPM_Mittel2_Cube",$D$3,"Alle Beteiligungen","Alle Koordinatoren","Alle Unternehmensgrößen","-2","Alle Organisationstypen",28,"Alle Expertevaluierungsstatus","-2","-2",$E29,"-2","Alle","-2",M$4)</f>
        <v>666500</v>
      </c>
      <c r="N29" s="488">
        <f ca="1">_xll.PALO.DATAC("jedoxtest/EU_PM_CUBE02","EUPM_Mittel2_Cube",$D$3,"Alle Beteiligungen","Alle Koordinatoren","Alle Unternehmensgrößen","-2","Alle Organisationstypen",28,"Alle Expertevaluierungsstatus","-2","-2",$E29,"-2","Alle","-2",N$4)</f>
        <v>0</v>
      </c>
      <c r="O29" s="489">
        <f t="shared" ca="1" si="2"/>
        <v>3.4206446823531125E-4</v>
      </c>
      <c r="P29" s="489">
        <f t="shared" ca="1" si="3"/>
        <v>1.1433034293193728E-5</v>
      </c>
      <c r="Q29" s="489">
        <f t="shared" ca="1" si="4"/>
        <v>0</v>
      </c>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8"/>
      <c r="BC29" s="508"/>
      <c r="BD29" s="508"/>
      <c r="BE29" s="508"/>
      <c r="BF29" s="508"/>
      <c r="BG29" s="508"/>
      <c r="BH29" s="508"/>
      <c r="BI29" s="508"/>
      <c r="BJ29" s="508"/>
      <c r="BK29" s="508"/>
      <c r="BL29" s="508"/>
      <c r="BM29" s="508"/>
      <c r="BN29" s="508"/>
      <c r="BO29" s="508"/>
      <c r="BP29" s="508"/>
      <c r="BQ29" s="508"/>
      <c r="BR29" s="508"/>
      <c r="BS29" s="508"/>
      <c r="BT29" s="508"/>
      <c r="BU29" s="508"/>
      <c r="BV29" s="508"/>
      <c r="BW29" s="508"/>
      <c r="BX29" s="508"/>
      <c r="BY29" s="508"/>
      <c r="BZ29" s="508"/>
      <c r="CA29" s="508"/>
      <c r="CB29" s="508"/>
      <c r="CC29" s="508"/>
      <c r="CD29" s="508"/>
      <c r="CE29" s="508"/>
      <c r="CF29" s="508"/>
      <c r="CG29" s="508"/>
      <c r="CH29" s="508"/>
      <c r="CI29" s="508"/>
      <c r="CJ29" s="508"/>
      <c r="CK29" s="508"/>
      <c r="CL29" s="508"/>
      <c r="CM29" s="508"/>
      <c r="CN29" s="508"/>
      <c r="CO29" s="508"/>
      <c r="CP29" s="508"/>
      <c r="CQ29" s="508"/>
      <c r="CR29" s="508"/>
      <c r="CS29" s="508"/>
      <c r="CT29" s="508"/>
      <c r="CU29" s="508"/>
      <c r="CV29" s="508"/>
      <c r="CW29" s="508"/>
      <c r="CX29" s="508"/>
      <c r="CY29" s="508"/>
      <c r="CZ29" s="508"/>
      <c r="DA29" s="508"/>
      <c r="DB29" s="508"/>
      <c r="DC29" s="508"/>
      <c r="DD29" s="508"/>
      <c r="DE29" s="508"/>
      <c r="DF29" s="508"/>
      <c r="DG29" s="508"/>
      <c r="DH29" s="508"/>
      <c r="DI29" s="508"/>
      <c r="DJ29" s="508"/>
      <c r="DK29" s="508"/>
      <c r="DL29" s="508"/>
      <c r="DM29" s="508"/>
      <c r="DN29" s="508"/>
      <c r="DO29" s="508"/>
      <c r="DP29" s="508"/>
      <c r="DQ29" s="508"/>
      <c r="DR29" s="508"/>
      <c r="DS29" s="508"/>
      <c r="DT29" s="508"/>
      <c r="DU29" s="508"/>
      <c r="DV29" s="508"/>
      <c r="DW29" s="508"/>
      <c r="DX29" s="508"/>
      <c r="DY29" s="508"/>
      <c r="DZ29" s="508"/>
      <c r="EA29" s="508"/>
      <c r="EB29" s="508"/>
      <c r="EC29" s="508"/>
      <c r="ED29" s="508"/>
      <c r="EE29" s="508"/>
      <c r="EF29" s="508"/>
      <c r="EG29" s="508"/>
      <c r="EH29" s="508"/>
      <c r="EI29" s="508"/>
      <c r="EJ29" s="508"/>
      <c r="EK29" s="508"/>
      <c r="EL29" s="508"/>
      <c r="EM29" s="508"/>
      <c r="EN29" s="508"/>
      <c r="EO29" s="508"/>
      <c r="EP29" s="508"/>
      <c r="EQ29" s="508"/>
      <c r="ER29" s="508"/>
      <c r="ES29" s="508"/>
      <c r="ET29" s="508"/>
      <c r="EU29" s="508"/>
      <c r="EV29" s="508"/>
      <c r="EW29" s="508"/>
      <c r="EX29" s="508"/>
      <c r="EY29" s="508"/>
      <c r="EZ29" s="508"/>
      <c r="FA29" s="508"/>
      <c r="FB29" s="508"/>
      <c r="FC29" s="508"/>
      <c r="FD29" s="508"/>
      <c r="FE29" s="508"/>
      <c r="FF29" s="508"/>
      <c r="FG29" s="508"/>
      <c r="FH29" s="508"/>
      <c r="FI29" s="508"/>
      <c r="FJ29" s="508"/>
      <c r="FK29" s="508"/>
      <c r="FL29" s="508"/>
      <c r="FM29" s="508"/>
      <c r="FN29" s="508"/>
      <c r="FO29" s="508"/>
      <c r="FP29" s="508"/>
      <c r="FQ29" s="508"/>
      <c r="FR29" s="508"/>
      <c r="FS29" s="508"/>
      <c r="FT29" s="508"/>
      <c r="FU29" s="508"/>
      <c r="FV29" s="508"/>
      <c r="FW29" s="508"/>
      <c r="FX29" s="508"/>
      <c r="FY29" s="508"/>
      <c r="FZ29" s="508"/>
      <c r="GA29" s="508"/>
      <c r="GB29" s="508"/>
      <c r="GC29" s="508"/>
      <c r="GD29" s="508"/>
      <c r="GE29" s="508"/>
      <c r="GF29" s="508"/>
      <c r="GG29" s="508"/>
      <c r="GH29" s="508"/>
      <c r="GI29" s="508"/>
      <c r="GJ29" s="508"/>
      <c r="GK29" s="508"/>
      <c r="GL29" s="508"/>
      <c r="GM29" s="508"/>
      <c r="GN29" s="508"/>
      <c r="GO29" s="508"/>
      <c r="GP29" s="508"/>
      <c r="GQ29" s="508"/>
      <c r="GR29" s="508"/>
      <c r="GS29" s="508"/>
      <c r="GT29" s="508"/>
      <c r="GU29" s="508"/>
      <c r="GV29" s="508"/>
      <c r="GW29" s="508"/>
      <c r="GX29" s="508"/>
      <c r="GY29" s="508"/>
      <c r="GZ29" s="508"/>
      <c r="HA29" s="508"/>
      <c r="HB29" s="508"/>
      <c r="HC29" s="508"/>
      <c r="HD29" s="508"/>
      <c r="HE29" s="508"/>
      <c r="HF29" s="508"/>
      <c r="HG29" s="508"/>
      <c r="HH29" s="508"/>
      <c r="HI29" s="508"/>
      <c r="HJ29" s="508"/>
      <c r="HK29" s="508"/>
      <c r="HL29" s="508"/>
      <c r="HM29" s="508"/>
      <c r="HN29" s="508"/>
      <c r="HO29" s="508"/>
      <c r="HP29" s="508"/>
      <c r="HQ29" s="508"/>
      <c r="HR29" s="508"/>
      <c r="HS29" s="508"/>
      <c r="HT29" s="508"/>
      <c r="HU29" s="508"/>
      <c r="HV29" s="508"/>
      <c r="HW29" s="508"/>
      <c r="HX29" s="508"/>
      <c r="HY29" s="508"/>
    </row>
    <row r="30" spans="2:233" s="506" customFormat="1">
      <c r="B30" s="524"/>
      <c r="C30" s="524"/>
      <c r="D30" s="525"/>
      <c r="E30" t="s">
        <v>423</v>
      </c>
      <c r="F30" s="493" t="str">
        <f ca="1">_xll.PALO.DATAC("jedoxtest/EU_PM_CUBE02","#_Staatengruppen_und_NUTS","Langbezeichnung",$E30)</f>
        <v>Zambia</v>
      </c>
      <c r="G30" s="494">
        <f ca="1">_xll.PALO.DATAC("jedoxtest/EU_PM_CUBE02","EUPM_Mittel2_Cube",$D$3,"Alle Beteiligungen","Alle Koordinatoren","Alle Unternehmensgrößen","-2","Alle Organisationstypen",28,"Alle Expertevaluierungsstatus","-2","-2",$E30,"-2","Alle","-2",G$4)</f>
        <v>40</v>
      </c>
      <c r="H30" s="494">
        <f ca="1">_xll.PALO.DATAC("jedoxtest/EU_PM_CUBE02","EUPM_Mittel2_Cube",$D$3,"Alle Beteiligungen","Alle Koordinatoren","Alle Unternehmensgrößen","-2","Alle Organisationstypen",28,"Alle Expertevaluierungsstatus","-2","-2",$E30,"-2","Alle","-2",H$4)</f>
        <v>13974635.619999999</v>
      </c>
      <c r="I30" s="495">
        <f t="shared" ca="1" si="0"/>
        <v>2.9111869637047765E-4</v>
      </c>
      <c r="J30" s="495">
        <f t="shared" ca="1" si="1"/>
        <v>2.3971866208304064E-4</v>
      </c>
      <c r="K30" s="508"/>
      <c r="L30" s="488">
        <f ca="1">_xll.PALO.DATAC("jedoxtest/EU_PM_CUBE02","EUPM_Mittel2_Cube",$D$3,"Alle Beteiligungen","Alle Koordinatoren","Alle Unternehmensgrößen","-2","Alle Organisationstypen",28,"Alle Expertevaluierungsstatus","-2","-2",$E30,"-2","Alle","-2",L$4)</f>
        <v>40</v>
      </c>
      <c r="M30" s="488">
        <f ca="1">_xll.PALO.DATAC("jedoxtest/EU_PM_CUBE02","EUPM_Mittel2_Cube",$D$3,"Alle Beteiligungen","Alle Koordinatoren","Alle Unternehmensgrößen","-2","Alle Organisationstypen",28,"Alle Expertevaluierungsstatus","-2","-2",$E30,"-2","Alle","-2",M$4)</f>
        <v>13974635.619999999</v>
      </c>
      <c r="N30" s="488">
        <f ca="1">_xll.PALO.DATAC("jedoxtest/EU_PM_CUBE02","EUPM_Mittel2_Cube",$D$3,"Alle Beteiligungen","Alle Koordinatoren","Alle Unternehmensgrößen","-2","Alle Organisationstypen",28,"Alle Expertevaluierungsstatus","-2","-2",$E30,"-2","Alle","-2",N$4)</f>
        <v>0</v>
      </c>
      <c r="O30" s="489">
        <f t="shared" ca="1" si="2"/>
        <v>2.9111869637047765E-4</v>
      </c>
      <c r="P30" s="489">
        <f t="shared" ca="1" si="3"/>
        <v>2.3971866208304064E-4</v>
      </c>
      <c r="Q30" s="489">
        <f t="shared" ca="1" si="4"/>
        <v>0</v>
      </c>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8"/>
      <c r="AV30" s="508"/>
      <c r="AW30" s="508"/>
      <c r="AX30" s="508"/>
      <c r="AY30" s="508"/>
      <c r="AZ30" s="508"/>
      <c r="BA30" s="508"/>
      <c r="BB30" s="508"/>
      <c r="BC30" s="508"/>
      <c r="BD30" s="508"/>
      <c r="BE30" s="508"/>
      <c r="BF30" s="508"/>
      <c r="BG30" s="508"/>
      <c r="BH30" s="508"/>
      <c r="BI30" s="508"/>
      <c r="BJ30" s="508"/>
      <c r="BK30" s="508"/>
      <c r="BL30" s="508"/>
      <c r="BM30" s="508"/>
      <c r="BN30" s="508"/>
      <c r="BO30" s="508"/>
      <c r="BP30" s="508"/>
      <c r="BQ30" s="508"/>
      <c r="BR30" s="508"/>
      <c r="BS30" s="508"/>
      <c r="BT30" s="508"/>
      <c r="BU30" s="508"/>
      <c r="BV30" s="508"/>
      <c r="BW30" s="508"/>
      <c r="BX30" s="508"/>
      <c r="BY30" s="508"/>
      <c r="BZ30" s="508"/>
      <c r="CA30" s="508"/>
      <c r="CB30" s="508"/>
      <c r="CC30" s="508"/>
      <c r="CD30" s="508"/>
      <c r="CE30" s="508"/>
      <c r="CF30" s="508"/>
      <c r="CG30" s="508"/>
      <c r="CH30" s="508"/>
      <c r="CI30" s="508"/>
      <c r="CJ30" s="508"/>
      <c r="CK30" s="508"/>
      <c r="CL30" s="508"/>
      <c r="CM30" s="508"/>
      <c r="CN30" s="508"/>
      <c r="CO30" s="508"/>
      <c r="CP30" s="508"/>
      <c r="CQ30" s="508"/>
      <c r="CR30" s="508"/>
      <c r="CS30" s="508"/>
      <c r="CT30" s="508"/>
      <c r="CU30" s="508"/>
      <c r="CV30" s="508"/>
      <c r="CW30" s="508"/>
      <c r="CX30" s="508"/>
      <c r="CY30" s="508"/>
      <c r="CZ30" s="508"/>
      <c r="DA30" s="508"/>
      <c r="DB30" s="508"/>
      <c r="DC30" s="508"/>
      <c r="DD30" s="508"/>
      <c r="DE30" s="508"/>
      <c r="DF30" s="508"/>
      <c r="DG30" s="508"/>
      <c r="DH30" s="508"/>
      <c r="DI30" s="508"/>
      <c r="DJ30" s="508"/>
      <c r="DK30" s="508"/>
      <c r="DL30" s="508"/>
      <c r="DM30" s="508"/>
      <c r="DN30" s="508"/>
      <c r="DO30" s="508"/>
      <c r="DP30" s="508"/>
      <c r="DQ30" s="508"/>
      <c r="DR30" s="508"/>
      <c r="DS30" s="508"/>
      <c r="DT30" s="508"/>
      <c r="DU30" s="508"/>
      <c r="DV30" s="508"/>
      <c r="DW30" s="508"/>
      <c r="DX30" s="508"/>
      <c r="DY30" s="508"/>
      <c r="DZ30" s="508"/>
      <c r="EA30" s="508"/>
      <c r="EB30" s="508"/>
      <c r="EC30" s="508"/>
      <c r="ED30" s="508"/>
      <c r="EE30" s="508"/>
      <c r="EF30" s="508"/>
      <c r="EG30" s="508"/>
      <c r="EH30" s="508"/>
      <c r="EI30" s="508"/>
      <c r="EJ30" s="508"/>
      <c r="EK30" s="508"/>
      <c r="EL30" s="508"/>
      <c r="EM30" s="508"/>
      <c r="EN30" s="508"/>
      <c r="EO30" s="508"/>
      <c r="EP30" s="508"/>
      <c r="EQ30" s="508"/>
      <c r="ER30" s="508"/>
      <c r="ES30" s="508"/>
      <c r="ET30" s="508"/>
      <c r="EU30" s="508"/>
      <c r="EV30" s="508"/>
      <c r="EW30" s="508"/>
      <c r="EX30" s="508"/>
      <c r="EY30" s="508"/>
      <c r="EZ30" s="508"/>
      <c r="FA30" s="508"/>
      <c r="FB30" s="508"/>
      <c r="FC30" s="508"/>
      <c r="FD30" s="508"/>
      <c r="FE30" s="508"/>
      <c r="FF30" s="508"/>
      <c r="FG30" s="508"/>
      <c r="FH30" s="508"/>
      <c r="FI30" s="508"/>
      <c r="FJ30" s="508"/>
      <c r="FK30" s="508"/>
      <c r="FL30" s="508"/>
      <c r="FM30" s="508"/>
      <c r="FN30" s="508"/>
      <c r="FO30" s="508"/>
      <c r="FP30" s="508"/>
      <c r="FQ30" s="508"/>
      <c r="FR30" s="508"/>
      <c r="FS30" s="508"/>
      <c r="FT30" s="508"/>
      <c r="FU30" s="508"/>
      <c r="FV30" s="508"/>
      <c r="FW30" s="508"/>
      <c r="FX30" s="508"/>
      <c r="FY30" s="508"/>
      <c r="FZ30" s="508"/>
      <c r="GA30" s="508"/>
      <c r="GB30" s="508"/>
      <c r="GC30" s="508"/>
      <c r="GD30" s="508"/>
      <c r="GE30" s="508"/>
      <c r="GF30" s="508"/>
      <c r="GG30" s="508"/>
      <c r="GH30" s="508"/>
      <c r="GI30" s="508"/>
      <c r="GJ30" s="508"/>
      <c r="GK30" s="508"/>
      <c r="GL30" s="508"/>
      <c r="GM30" s="508"/>
      <c r="GN30" s="508"/>
      <c r="GO30" s="508"/>
      <c r="GP30" s="508"/>
      <c r="GQ30" s="508"/>
      <c r="GR30" s="508"/>
      <c r="GS30" s="508"/>
      <c r="GT30" s="508"/>
      <c r="GU30" s="508"/>
      <c r="GV30" s="508"/>
      <c r="GW30" s="508"/>
      <c r="GX30" s="508"/>
      <c r="GY30" s="508"/>
      <c r="GZ30" s="508"/>
      <c r="HA30" s="508"/>
      <c r="HB30" s="508"/>
      <c r="HC30" s="508"/>
      <c r="HD30" s="508"/>
      <c r="HE30" s="508"/>
      <c r="HF30" s="508"/>
      <c r="HG30" s="508"/>
      <c r="HH30" s="508"/>
      <c r="HI30" s="508"/>
      <c r="HJ30" s="508"/>
      <c r="HK30" s="508"/>
      <c r="HL30" s="508"/>
      <c r="HM30" s="508"/>
      <c r="HN30" s="508"/>
      <c r="HO30" s="508"/>
      <c r="HP30" s="508"/>
      <c r="HQ30" s="508"/>
      <c r="HR30" s="508"/>
      <c r="HS30" s="508"/>
      <c r="HT30" s="508"/>
      <c r="HU30" s="508"/>
      <c r="HV30" s="508"/>
      <c r="HW30" s="508"/>
      <c r="HX30" s="508"/>
      <c r="HY30" s="508"/>
    </row>
    <row r="31" spans="2:233" s="506" customFormat="1">
      <c r="B31" s="524"/>
      <c r="C31" s="524"/>
      <c r="D31" s="525"/>
      <c r="E31" t="s">
        <v>397</v>
      </c>
      <c r="F31" s="493" t="str">
        <f ca="1">_xll.PALO.DATAC("jedoxtest/EU_PM_CUBE02","#_Staatengruppen_und_NUTS","Langbezeichnung",$E31)</f>
        <v>Cameroon</v>
      </c>
      <c r="G31" s="494">
        <f ca="1">_xll.PALO.DATAC("jedoxtest/EU_PM_CUBE02","EUPM_Mittel2_Cube",$D$3,"Alle Beteiligungen","Alle Koordinatoren","Alle Unternehmensgrößen","-2","Alle Organisationstypen",28,"Alle Expertevaluierungsstatus","-2","-2",$E31,"-2","Alle","-2",G$4)</f>
        <v>37</v>
      </c>
      <c r="H31" s="494">
        <f ca="1">_xll.PALO.DATAC("jedoxtest/EU_PM_CUBE02","EUPM_Mittel2_Cube",$D$3,"Alle Beteiligungen","Alle Koordinatoren","Alle Unternehmensgrößen","-2","Alle Organisationstypen",28,"Alle Expertevaluierungsstatus","-2","-2",$E31,"-2","Alle","-2",H$4)</f>
        <v>13458610.859999999</v>
      </c>
      <c r="I31" s="495">
        <f t="shared" ca="1" si="0"/>
        <v>2.6928479414269183E-4</v>
      </c>
      <c r="J31" s="495">
        <f t="shared" ca="1" si="1"/>
        <v>2.3086685596568571E-4</v>
      </c>
      <c r="K31" s="508"/>
      <c r="L31" s="488">
        <f ca="1">_xll.PALO.DATAC("jedoxtest/EU_PM_CUBE02","EUPM_Mittel2_Cube",$D$3,"Alle Beteiligungen","Alle Koordinatoren","Alle Unternehmensgrößen","-2","Alle Organisationstypen",28,"Alle Expertevaluierungsstatus","-2","-2",$E31,"-2","Alle","-2",L$4)</f>
        <v>37</v>
      </c>
      <c r="M31" s="488">
        <f ca="1">_xll.PALO.DATAC("jedoxtest/EU_PM_CUBE02","EUPM_Mittel2_Cube",$D$3,"Alle Beteiligungen","Alle Koordinatoren","Alle Unternehmensgrößen","-2","Alle Organisationstypen",28,"Alle Expertevaluierungsstatus","-2","-2",$E31,"-2","Alle","-2",M$4)</f>
        <v>13458610.859999999</v>
      </c>
      <c r="N31" s="488">
        <f ca="1">_xll.PALO.DATAC("jedoxtest/EU_PM_CUBE02","EUPM_Mittel2_Cube",$D$3,"Alle Beteiligungen","Alle Koordinatoren","Alle Unternehmensgrößen","-2","Alle Organisationstypen",28,"Alle Expertevaluierungsstatus","-2","-2",$E31,"-2","Alle","-2",N$4)</f>
        <v>0</v>
      </c>
      <c r="O31" s="489">
        <f t="shared" ca="1" si="2"/>
        <v>2.6928479414269183E-4</v>
      </c>
      <c r="P31" s="489">
        <f t="shared" ca="1" si="3"/>
        <v>2.3086685596568571E-4</v>
      </c>
      <c r="Q31" s="489">
        <f t="shared" ca="1" si="4"/>
        <v>0</v>
      </c>
      <c r="R31" s="508"/>
      <c r="S31" s="508"/>
      <c r="T31" s="508"/>
      <c r="U31" s="508"/>
      <c r="V31" s="508"/>
      <c r="W31" s="508"/>
      <c r="X31" s="508"/>
      <c r="Y31" s="508"/>
      <c r="Z31" s="508"/>
      <c r="AA31" s="508"/>
      <c r="AB31" s="508"/>
      <c r="AC31" s="508"/>
      <c r="AD31" s="508"/>
      <c r="AE31" s="508"/>
      <c r="AF31" s="508"/>
      <c r="AG31" s="508"/>
      <c r="AH31" s="508"/>
      <c r="AI31" s="508"/>
      <c r="AJ31" s="508"/>
      <c r="AK31" s="508"/>
      <c r="AL31" s="508"/>
      <c r="AM31" s="508"/>
      <c r="AN31" s="508"/>
      <c r="AO31" s="508"/>
      <c r="AP31" s="508"/>
      <c r="AQ31" s="508"/>
      <c r="AR31" s="508"/>
      <c r="AS31" s="508"/>
      <c r="AT31" s="508"/>
      <c r="AU31" s="508"/>
      <c r="AV31" s="508"/>
      <c r="AW31" s="508"/>
      <c r="AX31" s="508"/>
      <c r="AY31" s="508"/>
      <c r="AZ31" s="508"/>
      <c r="BA31" s="508"/>
      <c r="BB31" s="508"/>
      <c r="BC31" s="508"/>
      <c r="BD31" s="508"/>
      <c r="BE31" s="508"/>
      <c r="BF31" s="508"/>
      <c r="BG31" s="508"/>
      <c r="BH31" s="508"/>
      <c r="BI31" s="508"/>
      <c r="BJ31" s="508"/>
      <c r="BK31" s="508"/>
      <c r="BL31" s="508"/>
      <c r="BM31" s="508"/>
      <c r="BN31" s="508"/>
      <c r="BO31" s="508"/>
      <c r="BP31" s="508"/>
      <c r="BQ31" s="508"/>
      <c r="BR31" s="508"/>
      <c r="BS31" s="508"/>
      <c r="BT31" s="508"/>
      <c r="BU31" s="508"/>
      <c r="BV31" s="508"/>
      <c r="BW31" s="508"/>
      <c r="BX31" s="508"/>
      <c r="BY31" s="508"/>
      <c r="BZ31" s="508"/>
      <c r="CA31" s="508"/>
      <c r="CB31" s="508"/>
      <c r="CC31" s="508"/>
      <c r="CD31" s="508"/>
      <c r="CE31" s="508"/>
      <c r="CF31" s="508"/>
      <c r="CG31" s="508"/>
      <c r="CH31" s="508"/>
      <c r="CI31" s="508"/>
      <c r="CJ31" s="508"/>
      <c r="CK31" s="508"/>
      <c r="CL31" s="508"/>
      <c r="CM31" s="508"/>
      <c r="CN31" s="508"/>
      <c r="CO31" s="508"/>
      <c r="CP31" s="508"/>
      <c r="CQ31" s="508"/>
      <c r="CR31" s="508"/>
      <c r="CS31" s="508"/>
      <c r="CT31" s="508"/>
      <c r="CU31" s="508"/>
      <c r="CV31" s="508"/>
      <c r="CW31" s="508"/>
      <c r="CX31" s="508"/>
      <c r="CY31" s="508"/>
      <c r="CZ31" s="508"/>
      <c r="DA31" s="508"/>
      <c r="DB31" s="508"/>
      <c r="DC31" s="508"/>
      <c r="DD31" s="508"/>
      <c r="DE31" s="508"/>
      <c r="DF31" s="508"/>
      <c r="DG31" s="508"/>
      <c r="DH31" s="508"/>
      <c r="DI31" s="508"/>
      <c r="DJ31" s="508"/>
      <c r="DK31" s="508"/>
      <c r="DL31" s="508"/>
      <c r="DM31" s="508"/>
      <c r="DN31" s="508"/>
      <c r="DO31" s="508"/>
      <c r="DP31" s="508"/>
      <c r="DQ31" s="508"/>
      <c r="DR31" s="508"/>
      <c r="DS31" s="508"/>
      <c r="DT31" s="508"/>
      <c r="DU31" s="508"/>
      <c r="DV31" s="508"/>
      <c r="DW31" s="508"/>
      <c r="DX31" s="508"/>
      <c r="DY31" s="508"/>
      <c r="DZ31" s="508"/>
      <c r="EA31" s="508"/>
      <c r="EB31" s="508"/>
      <c r="EC31" s="508"/>
      <c r="ED31" s="508"/>
      <c r="EE31" s="508"/>
      <c r="EF31" s="508"/>
      <c r="EG31" s="508"/>
      <c r="EH31" s="508"/>
      <c r="EI31" s="508"/>
      <c r="EJ31" s="508"/>
      <c r="EK31" s="508"/>
      <c r="EL31" s="508"/>
      <c r="EM31" s="508"/>
      <c r="EN31" s="508"/>
      <c r="EO31" s="508"/>
      <c r="EP31" s="508"/>
      <c r="EQ31" s="508"/>
      <c r="ER31" s="508"/>
      <c r="ES31" s="508"/>
      <c r="ET31" s="508"/>
      <c r="EU31" s="508"/>
      <c r="EV31" s="508"/>
      <c r="EW31" s="508"/>
      <c r="EX31" s="508"/>
      <c r="EY31" s="508"/>
      <c r="EZ31" s="508"/>
      <c r="FA31" s="508"/>
      <c r="FB31" s="508"/>
      <c r="FC31" s="508"/>
      <c r="FD31" s="508"/>
      <c r="FE31" s="508"/>
      <c r="FF31" s="508"/>
      <c r="FG31" s="508"/>
      <c r="FH31" s="508"/>
      <c r="FI31" s="508"/>
      <c r="FJ31" s="508"/>
      <c r="FK31" s="508"/>
      <c r="FL31" s="508"/>
      <c r="FM31" s="508"/>
      <c r="FN31" s="508"/>
      <c r="FO31" s="508"/>
      <c r="FP31" s="508"/>
      <c r="FQ31" s="508"/>
      <c r="FR31" s="508"/>
      <c r="FS31" s="508"/>
      <c r="FT31" s="508"/>
      <c r="FU31" s="508"/>
      <c r="FV31" s="508"/>
      <c r="FW31" s="508"/>
      <c r="FX31" s="508"/>
      <c r="FY31" s="508"/>
      <c r="FZ31" s="508"/>
      <c r="GA31" s="508"/>
      <c r="GB31" s="508"/>
      <c r="GC31" s="508"/>
      <c r="GD31" s="508"/>
      <c r="GE31" s="508"/>
      <c r="GF31" s="508"/>
      <c r="GG31" s="508"/>
      <c r="GH31" s="508"/>
      <c r="GI31" s="508"/>
      <c r="GJ31" s="508"/>
      <c r="GK31" s="508"/>
      <c r="GL31" s="508"/>
      <c r="GM31" s="508"/>
      <c r="GN31" s="508"/>
      <c r="GO31" s="508"/>
      <c r="GP31" s="508"/>
      <c r="GQ31" s="508"/>
      <c r="GR31" s="508"/>
      <c r="GS31" s="508"/>
      <c r="GT31" s="508"/>
      <c r="GU31" s="508"/>
      <c r="GV31" s="508"/>
      <c r="GW31" s="508"/>
      <c r="GX31" s="508"/>
      <c r="GY31" s="508"/>
      <c r="GZ31" s="508"/>
      <c r="HA31" s="508"/>
      <c r="HB31" s="508"/>
      <c r="HC31" s="508"/>
      <c r="HD31" s="508"/>
      <c r="HE31" s="508"/>
      <c r="HF31" s="508"/>
      <c r="HG31" s="508"/>
      <c r="HH31" s="508"/>
      <c r="HI31" s="508"/>
      <c r="HJ31" s="508"/>
      <c r="HK31" s="508"/>
      <c r="HL31" s="508"/>
      <c r="HM31" s="508"/>
      <c r="HN31" s="508"/>
      <c r="HO31" s="508"/>
      <c r="HP31" s="508"/>
      <c r="HQ31" s="508"/>
      <c r="HR31" s="508"/>
      <c r="HS31" s="508"/>
      <c r="HT31" s="508"/>
      <c r="HU31" s="508"/>
      <c r="HV31" s="508"/>
      <c r="HW31" s="508"/>
      <c r="HX31" s="508"/>
      <c r="HY31" s="508"/>
    </row>
    <row r="32" spans="2:233" s="506" customFormat="1">
      <c r="B32" s="524"/>
      <c r="C32" s="524"/>
      <c r="D32" s="525"/>
      <c r="E32" t="s">
        <v>387</v>
      </c>
      <c r="F32" s="493" t="str">
        <f ca="1">_xll.PALO.DATAC("jedoxtest/EU_PM_CUBE02","#_Staatengruppen_und_NUTS","Langbezeichnung",$E32)</f>
        <v>Rwanda</v>
      </c>
      <c r="G32" s="494">
        <f ca="1">_xll.PALO.DATAC("jedoxtest/EU_PM_CUBE02","EUPM_Mittel2_Cube",$D$3,"Alle Beteiligungen","Alle Koordinatoren","Alle Unternehmensgrößen","-2","Alle Organisationstypen",28,"Alle Expertevaluierungsstatus","-2","-2",$E32,"-2","Alle","-2",G$4)</f>
        <v>37</v>
      </c>
      <c r="H32" s="494">
        <f ca="1">_xll.PALO.DATAC("jedoxtest/EU_PM_CUBE02","EUPM_Mittel2_Cube",$D$3,"Alle Beteiligungen","Alle Koordinatoren","Alle Unternehmensgrößen","-2","Alle Organisationstypen",28,"Alle Expertevaluierungsstatus","-2","-2",$E32,"-2","Alle","-2",H$4)</f>
        <v>12417378.310000001</v>
      </c>
      <c r="I32" s="495">
        <f t="shared" ca="1" si="0"/>
        <v>2.6928479414269183E-4</v>
      </c>
      <c r="J32" s="495">
        <f t="shared" ca="1" si="1"/>
        <v>2.1300571950456113E-4</v>
      </c>
      <c r="K32" s="508"/>
      <c r="L32" s="488">
        <f ca="1">_xll.PALO.DATAC("jedoxtest/EU_PM_CUBE02","EUPM_Mittel2_Cube",$D$3,"Alle Beteiligungen","Alle Koordinatoren","Alle Unternehmensgrößen","-2","Alle Organisationstypen",28,"Alle Expertevaluierungsstatus","-2","-2",$E32,"-2","Alle","-2",L$4)</f>
        <v>37</v>
      </c>
      <c r="M32" s="488">
        <f ca="1">_xll.PALO.DATAC("jedoxtest/EU_PM_CUBE02","EUPM_Mittel2_Cube",$D$3,"Alle Beteiligungen","Alle Koordinatoren","Alle Unternehmensgrößen","-2","Alle Organisationstypen",28,"Alle Expertevaluierungsstatus","-2","-2",$E32,"-2","Alle","-2",M$4)</f>
        <v>12417378.310000001</v>
      </c>
      <c r="N32" s="488">
        <f ca="1">_xll.PALO.DATAC("jedoxtest/EU_PM_CUBE02","EUPM_Mittel2_Cube",$D$3,"Alle Beteiligungen","Alle Koordinatoren","Alle Unternehmensgrößen","-2","Alle Organisationstypen",28,"Alle Expertevaluierungsstatus","-2","-2",$E32,"-2","Alle","-2",N$4)</f>
        <v>0</v>
      </c>
      <c r="O32" s="489">
        <f t="shared" ca="1" si="2"/>
        <v>2.6928479414269183E-4</v>
      </c>
      <c r="P32" s="489">
        <f t="shared" ca="1" si="3"/>
        <v>2.1300571950456113E-4</v>
      </c>
      <c r="Q32" s="489">
        <f t="shared" ca="1" si="4"/>
        <v>0</v>
      </c>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8"/>
      <c r="AY32" s="508"/>
      <c r="AZ32" s="508"/>
      <c r="BA32" s="508"/>
      <c r="BB32" s="508"/>
      <c r="BC32" s="508"/>
      <c r="BD32" s="508"/>
      <c r="BE32" s="508"/>
      <c r="BF32" s="508"/>
      <c r="BG32" s="508"/>
      <c r="BH32" s="508"/>
      <c r="BI32" s="508"/>
      <c r="BJ32" s="508"/>
      <c r="BK32" s="508"/>
      <c r="BL32" s="508"/>
      <c r="BM32" s="508"/>
      <c r="BN32" s="508"/>
      <c r="BO32" s="508"/>
      <c r="BP32" s="508"/>
      <c r="BQ32" s="508"/>
      <c r="BR32" s="508"/>
      <c r="BS32" s="508"/>
      <c r="BT32" s="508"/>
      <c r="BU32" s="508"/>
      <c r="BV32" s="508"/>
      <c r="BW32" s="508"/>
      <c r="BX32" s="508"/>
      <c r="BY32" s="508"/>
      <c r="BZ32" s="508"/>
      <c r="CA32" s="508"/>
      <c r="CB32" s="508"/>
      <c r="CC32" s="508"/>
      <c r="CD32" s="508"/>
      <c r="CE32" s="508"/>
      <c r="CF32" s="508"/>
      <c r="CG32" s="508"/>
      <c r="CH32" s="508"/>
      <c r="CI32" s="508"/>
      <c r="CJ32" s="508"/>
      <c r="CK32" s="508"/>
      <c r="CL32" s="508"/>
      <c r="CM32" s="508"/>
      <c r="CN32" s="508"/>
      <c r="CO32" s="508"/>
      <c r="CP32" s="508"/>
      <c r="CQ32" s="508"/>
      <c r="CR32" s="508"/>
      <c r="CS32" s="508"/>
      <c r="CT32" s="508"/>
      <c r="CU32" s="508"/>
      <c r="CV32" s="508"/>
      <c r="CW32" s="508"/>
      <c r="CX32" s="508"/>
      <c r="CY32" s="508"/>
      <c r="CZ32" s="508"/>
      <c r="DA32" s="508"/>
      <c r="DB32" s="508"/>
      <c r="DC32" s="508"/>
      <c r="DD32" s="508"/>
      <c r="DE32" s="508"/>
      <c r="DF32" s="508"/>
      <c r="DG32" s="508"/>
      <c r="DH32" s="508"/>
      <c r="DI32" s="508"/>
      <c r="DJ32" s="508"/>
      <c r="DK32" s="508"/>
      <c r="DL32" s="508"/>
      <c r="DM32" s="508"/>
      <c r="DN32" s="508"/>
      <c r="DO32" s="508"/>
      <c r="DP32" s="508"/>
      <c r="DQ32" s="508"/>
      <c r="DR32" s="508"/>
      <c r="DS32" s="508"/>
      <c r="DT32" s="508"/>
      <c r="DU32" s="508"/>
      <c r="DV32" s="508"/>
      <c r="DW32" s="508"/>
      <c r="DX32" s="508"/>
      <c r="DY32" s="508"/>
      <c r="DZ32" s="508"/>
      <c r="EA32" s="508"/>
      <c r="EB32" s="508"/>
      <c r="EC32" s="508"/>
      <c r="ED32" s="508"/>
      <c r="EE32" s="508"/>
      <c r="EF32" s="508"/>
      <c r="EG32" s="508"/>
      <c r="EH32" s="508"/>
      <c r="EI32" s="508"/>
      <c r="EJ32" s="508"/>
      <c r="EK32" s="508"/>
      <c r="EL32" s="508"/>
      <c r="EM32" s="508"/>
      <c r="EN32" s="508"/>
      <c r="EO32" s="508"/>
      <c r="EP32" s="508"/>
      <c r="EQ32" s="508"/>
      <c r="ER32" s="508"/>
      <c r="ES32" s="508"/>
      <c r="ET32" s="508"/>
      <c r="EU32" s="508"/>
      <c r="EV32" s="508"/>
      <c r="EW32" s="508"/>
      <c r="EX32" s="508"/>
      <c r="EY32" s="508"/>
      <c r="EZ32" s="508"/>
      <c r="FA32" s="508"/>
      <c r="FB32" s="508"/>
      <c r="FC32" s="508"/>
      <c r="FD32" s="508"/>
      <c r="FE32" s="508"/>
      <c r="FF32" s="508"/>
      <c r="FG32" s="508"/>
      <c r="FH32" s="508"/>
      <c r="FI32" s="508"/>
      <c r="FJ32" s="508"/>
      <c r="FK32" s="508"/>
      <c r="FL32" s="508"/>
      <c r="FM32" s="508"/>
      <c r="FN32" s="508"/>
      <c r="FO32" s="508"/>
      <c r="FP32" s="508"/>
      <c r="FQ32" s="508"/>
      <c r="FR32" s="508"/>
      <c r="FS32" s="508"/>
      <c r="FT32" s="508"/>
      <c r="FU32" s="508"/>
      <c r="FV32" s="508"/>
      <c r="FW32" s="508"/>
      <c r="FX32" s="508"/>
      <c r="FY32" s="508"/>
      <c r="FZ32" s="508"/>
      <c r="GA32" s="508"/>
      <c r="GB32" s="508"/>
      <c r="GC32" s="508"/>
      <c r="GD32" s="508"/>
      <c r="GE32" s="508"/>
      <c r="GF32" s="508"/>
      <c r="GG32" s="508"/>
      <c r="GH32" s="508"/>
      <c r="GI32" s="508"/>
      <c r="GJ32" s="508"/>
      <c r="GK32" s="508"/>
      <c r="GL32" s="508"/>
      <c r="GM32" s="508"/>
      <c r="GN32" s="508"/>
      <c r="GO32" s="508"/>
      <c r="GP32" s="508"/>
      <c r="GQ32" s="508"/>
      <c r="GR32" s="508"/>
      <c r="GS32" s="508"/>
      <c r="GT32" s="508"/>
      <c r="GU32" s="508"/>
      <c r="GV32" s="508"/>
      <c r="GW32" s="508"/>
      <c r="GX32" s="508"/>
      <c r="GY32" s="508"/>
      <c r="GZ32" s="508"/>
      <c r="HA32" s="508"/>
      <c r="HB32" s="508"/>
      <c r="HC32" s="508"/>
      <c r="HD32" s="508"/>
      <c r="HE32" s="508"/>
      <c r="HF32" s="508"/>
      <c r="HG32" s="508"/>
      <c r="HH32" s="508"/>
      <c r="HI32" s="508"/>
      <c r="HJ32" s="508"/>
      <c r="HK32" s="508"/>
      <c r="HL32" s="508"/>
      <c r="HM32" s="508"/>
      <c r="HN32" s="508"/>
      <c r="HO32" s="508"/>
      <c r="HP32" s="508"/>
      <c r="HQ32" s="508"/>
      <c r="HR32" s="508"/>
      <c r="HS32" s="508"/>
      <c r="HT32" s="508"/>
      <c r="HU32" s="508"/>
      <c r="HV32" s="508"/>
      <c r="HW32" s="508"/>
      <c r="HX32" s="508"/>
      <c r="HY32" s="508"/>
    </row>
    <row r="33" spans="1:233" s="506" customFormat="1">
      <c r="B33" s="524"/>
      <c r="C33" s="524"/>
      <c r="D33" s="525"/>
      <c r="E33" t="s">
        <v>384</v>
      </c>
      <c r="F33" s="493" t="str">
        <f ca="1">_xll.PALO.DATAC("jedoxtest/EU_PM_CUBE02","#_Staatengruppen_und_NUTS","Langbezeichnung",$E33)</f>
        <v>Burkina Faso</v>
      </c>
      <c r="G33" s="494">
        <f ca="1">_xll.PALO.DATAC("jedoxtest/EU_PM_CUBE02","EUPM_Mittel2_Cube",$D$3,"Alle Beteiligungen","Alle Koordinatoren","Alle Unternehmensgrößen","-2","Alle Organisationstypen",28,"Alle Expertevaluierungsstatus","-2","-2",$E33,"-2","Alle","-2",G$4)</f>
        <v>35</v>
      </c>
      <c r="H33" s="494">
        <f ca="1">_xll.PALO.DATAC("jedoxtest/EU_PM_CUBE02","EUPM_Mittel2_Cube",$D$3,"Alle Beteiligungen","Alle Koordinatoren","Alle Unternehmensgrößen","-2","Alle Organisationstypen",28,"Alle Expertevaluierungsstatus","-2","-2",$E33,"-2","Alle","-2",H$4)</f>
        <v>18191260.25</v>
      </c>
      <c r="I33" s="495">
        <f t="shared" ca="1" si="0"/>
        <v>2.5472885932416794E-4</v>
      </c>
      <c r="J33" s="495">
        <f t="shared" ca="1" si="1"/>
        <v>3.1204996590346876E-4</v>
      </c>
      <c r="K33" s="508"/>
      <c r="L33" s="488">
        <f ca="1">_xll.PALO.DATAC("jedoxtest/EU_PM_CUBE02","EUPM_Mittel2_Cube",$D$3,"Alle Beteiligungen","Alle Koordinatoren","Alle Unternehmensgrößen","-2","Alle Organisationstypen",28,"Alle Expertevaluierungsstatus","-2","-2",$E33,"-2","Alle","-2",L$4)</f>
        <v>35</v>
      </c>
      <c r="M33" s="488">
        <f ca="1">_xll.PALO.DATAC("jedoxtest/EU_PM_CUBE02","EUPM_Mittel2_Cube",$D$3,"Alle Beteiligungen","Alle Koordinatoren","Alle Unternehmensgrößen","-2","Alle Organisationstypen",28,"Alle Expertevaluierungsstatus","-2","-2",$E33,"-2","Alle","-2",M$4)</f>
        <v>18191260.25</v>
      </c>
      <c r="N33" s="488">
        <f ca="1">_xll.PALO.DATAC("jedoxtest/EU_PM_CUBE02","EUPM_Mittel2_Cube",$D$3,"Alle Beteiligungen","Alle Koordinatoren","Alle Unternehmensgrößen","-2","Alle Organisationstypen",28,"Alle Expertevaluierungsstatus","-2","-2",$E33,"-2","Alle","-2",N$4)</f>
        <v>0</v>
      </c>
      <c r="O33" s="489">
        <f t="shared" ca="1" si="2"/>
        <v>2.5472885932416794E-4</v>
      </c>
      <c r="P33" s="489">
        <f t="shared" ca="1" si="3"/>
        <v>3.1204996590346876E-4</v>
      </c>
      <c r="Q33" s="489">
        <f t="shared" ca="1" si="4"/>
        <v>0</v>
      </c>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08"/>
      <c r="BI33" s="508"/>
      <c r="BJ33" s="508"/>
      <c r="BK33" s="508"/>
      <c r="BL33" s="508"/>
      <c r="BM33" s="508"/>
      <c r="BN33" s="508"/>
      <c r="BO33" s="508"/>
      <c r="BP33" s="508"/>
      <c r="BQ33" s="508"/>
      <c r="BR33" s="508"/>
      <c r="BS33" s="508"/>
      <c r="BT33" s="508"/>
      <c r="BU33" s="508"/>
      <c r="BV33" s="508"/>
      <c r="BW33" s="508"/>
      <c r="BX33" s="508"/>
      <c r="BY33" s="508"/>
      <c r="BZ33" s="508"/>
      <c r="CA33" s="508"/>
      <c r="CB33" s="508"/>
      <c r="CC33" s="508"/>
      <c r="CD33" s="508"/>
      <c r="CE33" s="508"/>
      <c r="CF33" s="508"/>
      <c r="CG33" s="508"/>
      <c r="CH33" s="508"/>
      <c r="CI33" s="508"/>
      <c r="CJ33" s="508"/>
      <c r="CK33" s="508"/>
      <c r="CL33" s="508"/>
      <c r="CM33" s="508"/>
      <c r="CN33" s="508"/>
      <c r="CO33" s="508"/>
      <c r="CP33" s="508"/>
      <c r="CQ33" s="508"/>
      <c r="CR33" s="508"/>
      <c r="CS33" s="508"/>
      <c r="CT33" s="508"/>
      <c r="CU33" s="508"/>
      <c r="CV33" s="508"/>
      <c r="CW33" s="508"/>
      <c r="CX33" s="508"/>
      <c r="CY33" s="508"/>
      <c r="CZ33" s="508"/>
      <c r="DA33" s="508"/>
      <c r="DB33" s="508"/>
      <c r="DC33" s="508"/>
      <c r="DD33" s="508"/>
      <c r="DE33" s="508"/>
      <c r="DF33" s="508"/>
      <c r="DG33" s="508"/>
      <c r="DH33" s="508"/>
      <c r="DI33" s="508"/>
      <c r="DJ33" s="508"/>
      <c r="DK33" s="508"/>
      <c r="DL33" s="508"/>
      <c r="DM33" s="508"/>
      <c r="DN33" s="508"/>
      <c r="DO33" s="508"/>
      <c r="DP33" s="508"/>
      <c r="DQ33" s="508"/>
      <c r="DR33" s="508"/>
      <c r="DS33" s="508"/>
      <c r="DT33" s="508"/>
      <c r="DU33" s="508"/>
      <c r="DV33" s="508"/>
      <c r="DW33" s="508"/>
      <c r="DX33" s="508"/>
      <c r="DY33" s="508"/>
      <c r="DZ33" s="508"/>
      <c r="EA33" s="508"/>
      <c r="EB33" s="508"/>
      <c r="EC33" s="508"/>
      <c r="ED33" s="508"/>
      <c r="EE33" s="508"/>
      <c r="EF33" s="508"/>
      <c r="EG33" s="508"/>
      <c r="EH33" s="508"/>
      <c r="EI33" s="508"/>
      <c r="EJ33" s="508"/>
      <c r="EK33" s="508"/>
      <c r="EL33" s="508"/>
      <c r="EM33" s="508"/>
      <c r="EN33" s="508"/>
      <c r="EO33" s="508"/>
      <c r="EP33" s="508"/>
      <c r="EQ33" s="508"/>
      <c r="ER33" s="508"/>
      <c r="ES33" s="508"/>
      <c r="ET33" s="508"/>
      <c r="EU33" s="508"/>
      <c r="EV33" s="508"/>
      <c r="EW33" s="508"/>
      <c r="EX33" s="508"/>
      <c r="EY33" s="508"/>
      <c r="EZ33" s="508"/>
      <c r="FA33" s="508"/>
      <c r="FB33" s="508"/>
      <c r="FC33" s="508"/>
      <c r="FD33" s="508"/>
      <c r="FE33" s="508"/>
      <c r="FF33" s="508"/>
      <c r="FG33" s="508"/>
      <c r="FH33" s="508"/>
      <c r="FI33" s="508"/>
      <c r="FJ33" s="508"/>
      <c r="FK33" s="508"/>
      <c r="FL33" s="508"/>
      <c r="FM33" s="508"/>
      <c r="FN33" s="508"/>
      <c r="FO33" s="508"/>
      <c r="FP33" s="508"/>
      <c r="FQ33" s="508"/>
      <c r="FR33" s="508"/>
      <c r="FS33" s="508"/>
      <c r="FT33" s="508"/>
      <c r="FU33" s="508"/>
      <c r="FV33" s="508"/>
      <c r="FW33" s="508"/>
      <c r="FX33" s="508"/>
      <c r="FY33" s="508"/>
      <c r="FZ33" s="508"/>
      <c r="GA33" s="508"/>
      <c r="GB33" s="508"/>
      <c r="GC33" s="508"/>
      <c r="GD33" s="508"/>
      <c r="GE33" s="508"/>
      <c r="GF33" s="508"/>
      <c r="GG33" s="508"/>
      <c r="GH33" s="508"/>
      <c r="GI33" s="508"/>
      <c r="GJ33" s="508"/>
      <c r="GK33" s="508"/>
      <c r="GL33" s="508"/>
      <c r="GM33" s="508"/>
      <c r="GN33" s="508"/>
      <c r="GO33" s="508"/>
      <c r="GP33" s="508"/>
      <c r="GQ33" s="508"/>
      <c r="GR33" s="508"/>
      <c r="GS33" s="508"/>
      <c r="GT33" s="508"/>
      <c r="GU33" s="508"/>
      <c r="GV33" s="508"/>
      <c r="GW33" s="508"/>
      <c r="GX33" s="508"/>
      <c r="GY33" s="508"/>
      <c r="GZ33" s="508"/>
      <c r="HA33" s="508"/>
      <c r="HB33" s="508"/>
      <c r="HC33" s="508"/>
      <c r="HD33" s="508"/>
      <c r="HE33" s="508"/>
      <c r="HF33" s="508"/>
      <c r="HG33" s="508"/>
      <c r="HH33" s="508"/>
      <c r="HI33" s="508"/>
      <c r="HJ33" s="508"/>
      <c r="HK33" s="508"/>
      <c r="HL33" s="508"/>
      <c r="HM33" s="508"/>
      <c r="HN33" s="508"/>
      <c r="HO33" s="508"/>
      <c r="HP33" s="508"/>
      <c r="HQ33" s="508"/>
      <c r="HR33" s="508"/>
      <c r="HS33" s="508"/>
      <c r="HT33" s="508"/>
      <c r="HU33" s="508"/>
      <c r="HV33" s="508"/>
      <c r="HW33" s="508"/>
      <c r="HX33" s="508"/>
      <c r="HY33" s="508"/>
    </row>
    <row r="34" spans="1:233" s="506" customFormat="1">
      <c r="B34" s="524"/>
      <c r="C34" s="524"/>
      <c r="D34" s="525"/>
      <c r="E34" t="s">
        <v>424</v>
      </c>
      <c r="F34" s="493" t="str">
        <f ca="1">_xll.PALO.DATAC("jedoxtest/EU_PM_CUBE02","#_Staatengruppen_und_NUTS","Langbezeichnung",$E34)</f>
        <v>Malaysia</v>
      </c>
      <c r="G34" s="494">
        <f ca="1">_xll.PALO.DATAC("jedoxtest/EU_PM_CUBE02","EUPM_Mittel2_Cube",$D$3,"Alle Beteiligungen","Alle Koordinatoren","Alle Unternehmensgrößen","-2","Alle Organisationstypen",28,"Alle Expertevaluierungsstatus","-2","-2",$E34,"-2","Alle","-2",G$4)</f>
        <v>35</v>
      </c>
      <c r="H34" s="494">
        <f ca="1">_xll.PALO.DATAC("jedoxtest/EU_PM_CUBE02","EUPM_Mittel2_Cube",$D$3,"Alle Beteiligungen","Alle Koordinatoren","Alle Unternehmensgrößen","-2","Alle Organisationstypen",28,"Alle Expertevaluierungsstatus","-2","-2",$E34,"-2","Alle","-2",H$4)</f>
        <v>610060</v>
      </c>
      <c r="I34" s="495">
        <f t="shared" ca="1" si="0"/>
        <v>2.5472885932416794E-4</v>
      </c>
      <c r="J34" s="495">
        <f t="shared" ca="1" si="1"/>
        <v>1.0464871569250962E-5</v>
      </c>
      <c r="K34" s="508"/>
      <c r="L34" s="488">
        <f ca="1">_xll.PALO.DATAC("jedoxtest/EU_PM_CUBE02","EUPM_Mittel2_Cube",$D$3,"Alle Beteiligungen","Alle Koordinatoren","Alle Unternehmensgrößen","-2","Alle Organisationstypen",28,"Alle Expertevaluierungsstatus","-2","-2",$E34,"-2","Alle","-2",L$4)</f>
        <v>35</v>
      </c>
      <c r="M34" s="488">
        <f ca="1">_xll.PALO.DATAC("jedoxtest/EU_PM_CUBE02","EUPM_Mittel2_Cube",$D$3,"Alle Beteiligungen","Alle Koordinatoren","Alle Unternehmensgrößen","-2","Alle Organisationstypen",28,"Alle Expertevaluierungsstatus","-2","-2",$E34,"-2","Alle","-2",M$4)</f>
        <v>610060</v>
      </c>
      <c r="N34" s="488">
        <f ca="1">_xll.PALO.DATAC("jedoxtest/EU_PM_CUBE02","EUPM_Mittel2_Cube",$D$3,"Alle Beteiligungen","Alle Koordinatoren","Alle Unternehmensgrößen","-2","Alle Organisationstypen",28,"Alle Expertevaluierungsstatus","-2","-2",$E34,"-2","Alle","-2",N$4)</f>
        <v>0</v>
      </c>
      <c r="O34" s="489">
        <f t="shared" ca="1" si="2"/>
        <v>2.5472885932416794E-4</v>
      </c>
      <c r="P34" s="489">
        <f t="shared" ca="1" si="3"/>
        <v>1.0464871569250962E-5</v>
      </c>
      <c r="Q34" s="489">
        <f t="shared" ca="1" si="4"/>
        <v>0</v>
      </c>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8"/>
      <c r="AY34" s="508"/>
      <c r="AZ34" s="508"/>
      <c r="BA34" s="508"/>
      <c r="BB34" s="508"/>
      <c r="BC34" s="508"/>
      <c r="BD34" s="508"/>
      <c r="BE34" s="508"/>
      <c r="BF34" s="508"/>
      <c r="BG34" s="508"/>
      <c r="BH34" s="508"/>
      <c r="BI34" s="508"/>
      <c r="BJ34" s="508"/>
      <c r="BK34" s="508"/>
      <c r="BL34" s="508"/>
      <c r="BM34" s="508"/>
      <c r="BN34" s="508"/>
      <c r="BO34" s="508"/>
      <c r="BP34" s="508"/>
      <c r="BQ34" s="508"/>
      <c r="BR34" s="508"/>
      <c r="BS34" s="508"/>
      <c r="BT34" s="508"/>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8"/>
      <c r="CV34" s="508"/>
      <c r="CW34" s="508"/>
      <c r="CX34" s="508"/>
      <c r="CY34" s="508"/>
      <c r="CZ34" s="508"/>
      <c r="DA34" s="508"/>
      <c r="DB34" s="508"/>
      <c r="DC34" s="508"/>
      <c r="DD34" s="508"/>
      <c r="DE34" s="508"/>
      <c r="DF34" s="508"/>
      <c r="DG34" s="508"/>
      <c r="DH34" s="508"/>
      <c r="DI34" s="508"/>
      <c r="DJ34" s="508"/>
      <c r="DK34" s="508"/>
      <c r="DL34" s="508"/>
      <c r="DM34" s="508"/>
      <c r="DN34" s="508"/>
      <c r="DO34" s="508"/>
      <c r="DP34" s="508"/>
      <c r="DQ34" s="508"/>
      <c r="DR34" s="508"/>
      <c r="DS34" s="508"/>
      <c r="DT34" s="508"/>
      <c r="DU34" s="508"/>
      <c r="DV34" s="508"/>
      <c r="DW34" s="508"/>
      <c r="DX34" s="508"/>
      <c r="DY34" s="508"/>
      <c r="DZ34" s="508"/>
      <c r="EA34" s="508"/>
      <c r="EB34" s="508"/>
      <c r="EC34" s="508"/>
      <c r="ED34" s="508"/>
      <c r="EE34" s="508"/>
      <c r="EF34" s="508"/>
      <c r="EG34" s="508"/>
      <c r="EH34" s="508"/>
      <c r="EI34" s="508"/>
      <c r="EJ34" s="508"/>
      <c r="EK34" s="508"/>
      <c r="EL34" s="508"/>
      <c r="EM34" s="508"/>
      <c r="EN34" s="508"/>
      <c r="EO34" s="508"/>
      <c r="EP34" s="508"/>
      <c r="EQ34" s="508"/>
      <c r="ER34" s="508"/>
      <c r="ES34" s="508"/>
      <c r="ET34" s="508"/>
      <c r="EU34" s="508"/>
      <c r="EV34" s="508"/>
      <c r="EW34" s="508"/>
      <c r="EX34" s="508"/>
      <c r="EY34" s="508"/>
      <c r="EZ34" s="508"/>
      <c r="FA34" s="508"/>
      <c r="FB34" s="508"/>
      <c r="FC34" s="508"/>
      <c r="FD34" s="508"/>
      <c r="FE34" s="508"/>
      <c r="FF34" s="508"/>
      <c r="FG34" s="508"/>
      <c r="FH34" s="508"/>
      <c r="FI34" s="508"/>
      <c r="FJ34" s="508"/>
      <c r="FK34" s="508"/>
      <c r="FL34" s="508"/>
      <c r="FM34" s="508"/>
      <c r="FN34" s="508"/>
      <c r="FO34" s="508"/>
      <c r="FP34" s="508"/>
      <c r="FQ34" s="508"/>
      <c r="FR34" s="508"/>
      <c r="FS34" s="508"/>
      <c r="FT34" s="508"/>
      <c r="FU34" s="508"/>
      <c r="FV34" s="508"/>
      <c r="FW34" s="508"/>
      <c r="FX34" s="508"/>
      <c r="FY34" s="508"/>
      <c r="FZ34" s="508"/>
      <c r="GA34" s="508"/>
      <c r="GB34" s="508"/>
      <c r="GC34" s="508"/>
      <c r="GD34" s="508"/>
      <c r="GE34" s="508"/>
      <c r="GF34" s="508"/>
      <c r="GG34" s="508"/>
      <c r="GH34" s="508"/>
      <c r="GI34" s="508"/>
      <c r="GJ34" s="508"/>
      <c r="GK34" s="508"/>
      <c r="GL34" s="508"/>
      <c r="GM34" s="508"/>
      <c r="GN34" s="508"/>
      <c r="GO34" s="508"/>
      <c r="GP34" s="508"/>
      <c r="GQ34" s="508"/>
      <c r="GR34" s="508"/>
      <c r="GS34" s="508"/>
      <c r="GT34" s="508"/>
      <c r="GU34" s="508"/>
      <c r="GV34" s="508"/>
      <c r="GW34" s="508"/>
      <c r="GX34" s="508"/>
      <c r="GY34" s="508"/>
      <c r="GZ34" s="508"/>
      <c r="HA34" s="508"/>
      <c r="HB34" s="508"/>
      <c r="HC34" s="508"/>
      <c r="HD34" s="508"/>
      <c r="HE34" s="508"/>
      <c r="HF34" s="508"/>
      <c r="HG34" s="508"/>
      <c r="HH34" s="508"/>
      <c r="HI34" s="508"/>
      <c r="HJ34" s="508"/>
      <c r="HK34" s="508"/>
      <c r="HL34" s="508"/>
      <c r="HM34" s="508"/>
      <c r="HN34" s="508"/>
      <c r="HO34" s="508"/>
      <c r="HP34" s="508"/>
      <c r="HQ34" s="508"/>
      <c r="HR34" s="508"/>
      <c r="HS34" s="508"/>
      <c r="HT34" s="508"/>
      <c r="HU34" s="508"/>
      <c r="HV34" s="508"/>
      <c r="HW34" s="508"/>
      <c r="HX34" s="508"/>
      <c r="HY34" s="508"/>
    </row>
    <row r="35" spans="1:233" s="506" customFormat="1">
      <c r="B35" s="524"/>
      <c r="C35" s="524"/>
      <c r="D35" s="525"/>
      <c r="E35" t="s">
        <v>388</v>
      </c>
      <c r="F35" s="493" t="str">
        <f ca="1">_xll.PALO.DATAC("jedoxtest/EU_PM_CUBE02","#_Staatengruppen_und_NUTS","Langbezeichnung",$E35)</f>
        <v>Lebanon</v>
      </c>
      <c r="G35" s="494">
        <f ca="1">_xll.PALO.DATAC("jedoxtest/EU_PM_CUBE02","EUPM_Mittel2_Cube",$D$3,"Alle Beteiligungen","Alle Koordinatoren","Alle Unternehmensgrößen","-2","Alle Organisationstypen",28,"Alle Expertevaluierungsstatus","-2","-2",$E35,"-2","Alle","-2",G$4)</f>
        <v>34</v>
      </c>
      <c r="H35" s="494">
        <f ca="1">_xll.PALO.DATAC("jedoxtest/EU_PM_CUBE02","EUPM_Mittel2_Cube",$D$3,"Alle Beteiligungen","Alle Koordinatoren","Alle Unternehmensgrößen","-2","Alle Organisationstypen",28,"Alle Expertevaluierungsstatus","-2","-2",$E35,"-2","Alle","-2",H$4)</f>
        <v>5336011.63</v>
      </c>
      <c r="I35" s="495">
        <f t="shared" ca="1" si="0"/>
        <v>2.47450891914906E-4</v>
      </c>
      <c r="J35" s="495">
        <f t="shared" ca="1" si="1"/>
        <v>9.1533089204306925E-5</v>
      </c>
      <c r="K35" s="508"/>
      <c r="L35" s="488">
        <f ca="1">_xll.PALO.DATAC("jedoxtest/EU_PM_CUBE02","EUPM_Mittel2_Cube",$D$3,"Alle Beteiligungen","Alle Koordinatoren","Alle Unternehmensgrößen","-2","Alle Organisationstypen",28,"Alle Expertevaluierungsstatus","-2","-2",$E35,"-2","Alle","-2",L$4)</f>
        <v>34</v>
      </c>
      <c r="M35" s="488">
        <f ca="1">_xll.PALO.DATAC("jedoxtest/EU_PM_CUBE02","EUPM_Mittel2_Cube",$D$3,"Alle Beteiligungen","Alle Koordinatoren","Alle Unternehmensgrößen","-2","Alle Organisationstypen",28,"Alle Expertevaluierungsstatus","-2","-2",$E35,"-2","Alle","-2",M$4)</f>
        <v>5336011.63</v>
      </c>
      <c r="N35" s="488">
        <f ca="1">_xll.PALO.DATAC("jedoxtest/EU_PM_CUBE02","EUPM_Mittel2_Cube",$D$3,"Alle Beteiligungen","Alle Koordinatoren","Alle Unternehmensgrößen","-2","Alle Organisationstypen",28,"Alle Expertevaluierungsstatus","-2","-2",$E35,"-2","Alle","-2",N$4)</f>
        <v>0</v>
      </c>
      <c r="O35" s="489">
        <f t="shared" ca="1" si="2"/>
        <v>2.47450891914906E-4</v>
      </c>
      <c r="P35" s="489">
        <f t="shared" ca="1" si="3"/>
        <v>9.1533089204306925E-5</v>
      </c>
      <c r="Q35" s="489">
        <f t="shared" ca="1" si="4"/>
        <v>0</v>
      </c>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8"/>
      <c r="CK35" s="508"/>
      <c r="CL35" s="508"/>
      <c r="CM35" s="508"/>
      <c r="CN35" s="508"/>
      <c r="CO35" s="508"/>
      <c r="CP35" s="508"/>
      <c r="CQ35" s="508"/>
      <c r="CR35" s="508"/>
      <c r="CS35" s="508"/>
      <c r="CT35" s="508"/>
      <c r="CU35" s="508"/>
      <c r="CV35" s="508"/>
      <c r="CW35" s="508"/>
      <c r="CX35" s="508"/>
      <c r="CY35" s="508"/>
      <c r="CZ35" s="508"/>
      <c r="DA35" s="508"/>
      <c r="DB35" s="508"/>
      <c r="DC35" s="508"/>
      <c r="DD35" s="508"/>
      <c r="DE35" s="508"/>
      <c r="DF35" s="508"/>
      <c r="DG35" s="508"/>
      <c r="DH35" s="508"/>
      <c r="DI35" s="508"/>
      <c r="DJ35" s="508"/>
      <c r="DK35" s="508"/>
      <c r="DL35" s="508"/>
      <c r="DM35" s="508"/>
      <c r="DN35" s="508"/>
      <c r="DO35" s="508"/>
      <c r="DP35" s="508"/>
      <c r="DQ35" s="508"/>
      <c r="DR35" s="508"/>
      <c r="DS35" s="508"/>
      <c r="DT35" s="508"/>
      <c r="DU35" s="508"/>
      <c r="DV35" s="508"/>
      <c r="DW35" s="508"/>
      <c r="DX35" s="508"/>
      <c r="DY35" s="508"/>
      <c r="DZ35" s="508"/>
      <c r="EA35" s="508"/>
      <c r="EB35" s="508"/>
      <c r="EC35" s="508"/>
      <c r="ED35" s="508"/>
      <c r="EE35" s="508"/>
      <c r="EF35" s="508"/>
      <c r="EG35" s="508"/>
      <c r="EH35" s="508"/>
      <c r="EI35" s="508"/>
      <c r="EJ35" s="508"/>
      <c r="EK35" s="508"/>
      <c r="EL35" s="508"/>
      <c r="EM35" s="508"/>
      <c r="EN35" s="508"/>
      <c r="EO35" s="508"/>
      <c r="EP35" s="508"/>
      <c r="EQ35" s="508"/>
      <c r="ER35" s="508"/>
      <c r="ES35" s="508"/>
      <c r="ET35" s="508"/>
      <c r="EU35" s="508"/>
      <c r="EV35" s="508"/>
      <c r="EW35" s="508"/>
      <c r="EX35" s="508"/>
      <c r="EY35" s="508"/>
      <c r="EZ35" s="508"/>
      <c r="FA35" s="508"/>
      <c r="FB35" s="508"/>
      <c r="FC35" s="508"/>
      <c r="FD35" s="508"/>
      <c r="FE35" s="508"/>
      <c r="FF35" s="508"/>
      <c r="FG35" s="508"/>
      <c r="FH35" s="508"/>
      <c r="FI35" s="508"/>
      <c r="FJ35" s="508"/>
      <c r="FK35" s="508"/>
      <c r="FL35" s="508"/>
      <c r="FM35" s="508"/>
      <c r="FN35" s="508"/>
      <c r="FO35" s="508"/>
      <c r="FP35" s="508"/>
      <c r="FQ35" s="508"/>
      <c r="FR35" s="508"/>
      <c r="FS35" s="508"/>
      <c r="FT35" s="508"/>
      <c r="FU35" s="508"/>
      <c r="FV35" s="508"/>
      <c r="FW35" s="508"/>
      <c r="FX35" s="508"/>
      <c r="FY35" s="508"/>
      <c r="FZ35" s="508"/>
      <c r="GA35" s="508"/>
      <c r="GB35" s="508"/>
      <c r="GC35" s="508"/>
      <c r="GD35" s="508"/>
      <c r="GE35" s="508"/>
      <c r="GF35" s="508"/>
      <c r="GG35" s="508"/>
      <c r="GH35" s="508"/>
      <c r="GI35" s="508"/>
      <c r="GJ35" s="508"/>
      <c r="GK35" s="508"/>
      <c r="GL35" s="508"/>
      <c r="GM35" s="508"/>
      <c r="GN35" s="508"/>
      <c r="GO35" s="508"/>
      <c r="GP35" s="508"/>
      <c r="GQ35" s="508"/>
      <c r="GR35" s="508"/>
      <c r="GS35" s="508"/>
      <c r="GT35" s="508"/>
      <c r="GU35" s="508"/>
      <c r="GV35" s="508"/>
      <c r="GW35" s="508"/>
      <c r="GX35" s="508"/>
      <c r="GY35" s="508"/>
      <c r="GZ35" s="508"/>
      <c r="HA35" s="508"/>
      <c r="HB35" s="508"/>
      <c r="HC35" s="508"/>
      <c r="HD35" s="508"/>
      <c r="HE35" s="508"/>
      <c r="HF35" s="508"/>
      <c r="HG35" s="508"/>
      <c r="HH35" s="508"/>
      <c r="HI35" s="508"/>
      <c r="HJ35" s="508"/>
      <c r="HK35" s="508"/>
      <c r="HL35" s="508"/>
      <c r="HM35" s="508"/>
      <c r="HN35" s="508"/>
      <c r="HO35" s="508"/>
      <c r="HP35" s="508"/>
      <c r="HQ35" s="508"/>
      <c r="HR35" s="508"/>
      <c r="HS35" s="508"/>
      <c r="HT35" s="508"/>
      <c r="HU35" s="508"/>
      <c r="HV35" s="508"/>
      <c r="HW35" s="508"/>
      <c r="HX35" s="508"/>
      <c r="HY35" s="508"/>
    </row>
    <row r="36" spans="1:233" s="506" customFormat="1">
      <c r="B36" s="524"/>
      <c r="C36" s="524"/>
      <c r="D36" s="525"/>
      <c r="E36" t="s">
        <v>410</v>
      </c>
      <c r="F36" s="493" t="str">
        <f ca="1">_xll.PALO.DATAC("jedoxtest/EU_PM_CUBE02","#_Staatengruppen_und_NUTS","Langbezeichnung",$E36)</f>
        <v>Kazakhstan</v>
      </c>
      <c r="G36" s="494">
        <f ca="1">_xll.PALO.DATAC("jedoxtest/EU_PM_CUBE02","EUPM_Mittel2_Cube",$D$3,"Alle Beteiligungen","Alle Koordinatoren","Alle Unternehmensgrößen","-2","Alle Organisationstypen",28,"Alle Expertevaluierungsstatus","-2","-2",$E36,"-2","Alle","-2",G$4)</f>
        <v>33</v>
      </c>
      <c r="H36" s="494">
        <f ca="1">_xll.PALO.DATAC("jedoxtest/EU_PM_CUBE02","EUPM_Mittel2_Cube",$D$3,"Alle Beteiligungen","Alle Koordinatoren","Alle Unternehmensgrößen","-2","Alle Organisationstypen",28,"Alle Expertevaluierungsstatus","-2","-2",$E36,"-2","Alle","-2",H$4)</f>
        <v>1437600</v>
      </c>
      <c r="I36" s="495">
        <f t="shared" ca="1" si="0"/>
        <v>2.4017292450564405E-4</v>
      </c>
      <c r="J36" s="495">
        <f t="shared" ca="1" si="1"/>
        <v>2.4660360239902932E-5</v>
      </c>
      <c r="K36" s="508"/>
      <c r="L36" s="488">
        <f ca="1">_xll.PALO.DATAC("jedoxtest/EU_PM_CUBE02","EUPM_Mittel2_Cube",$D$3,"Alle Beteiligungen","Alle Koordinatoren","Alle Unternehmensgrößen","-2","Alle Organisationstypen",28,"Alle Expertevaluierungsstatus","-2","-2",$E36,"-2","Alle","-2",L$4)</f>
        <v>33</v>
      </c>
      <c r="M36" s="488">
        <f ca="1">_xll.PALO.DATAC("jedoxtest/EU_PM_CUBE02","EUPM_Mittel2_Cube",$D$3,"Alle Beteiligungen","Alle Koordinatoren","Alle Unternehmensgrößen","-2","Alle Organisationstypen",28,"Alle Expertevaluierungsstatus","-2","-2",$E36,"-2","Alle","-2",M$4)</f>
        <v>1437600</v>
      </c>
      <c r="N36" s="488">
        <f ca="1">_xll.PALO.DATAC("jedoxtest/EU_PM_CUBE02","EUPM_Mittel2_Cube",$D$3,"Alle Beteiligungen","Alle Koordinatoren","Alle Unternehmensgrößen","-2","Alle Organisationstypen",28,"Alle Expertevaluierungsstatus","-2","-2",$E36,"-2","Alle","-2",N$4)</f>
        <v>0</v>
      </c>
      <c r="O36" s="489">
        <f t="shared" ca="1" si="2"/>
        <v>2.4017292450564405E-4</v>
      </c>
      <c r="P36" s="489">
        <f t="shared" ca="1" si="3"/>
        <v>2.4660360239902932E-5</v>
      </c>
      <c r="Q36" s="489">
        <f t="shared" ca="1" si="4"/>
        <v>0</v>
      </c>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c r="BH36" s="508"/>
      <c r="BI36" s="508"/>
      <c r="BJ36" s="508"/>
      <c r="BK36" s="508"/>
      <c r="BL36" s="508"/>
      <c r="BM36" s="508"/>
      <c r="BN36" s="508"/>
      <c r="BO36" s="508"/>
      <c r="BP36" s="508"/>
      <c r="BQ36" s="508"/>
      <c r="BR36" s="508"/>
      <c r="BS36" s="508"/>
      <c r="BT36" s="508"/>
      <c r="BU36" s="508"/>
      <c r="BV36" s="508"/>
      <c r="BW36" s="508"/>
      <c r="BX36" s="508"/>
      <c r="BY36" s="508"/>
      <c r="BZ36" s="508"/>
      <c r="CA36" s="508"/>
      <c r="CB36" s="508"/>
      <c r="CC36" s="508"/>
      <c r="CD36" s="508"/>
      <c r="CE36" s="508"/>
      <c r="CF36" s="508"/>
      <c r="CG36" s="508"/>
      <c r="CH36" s="508"/>
      <c r="CI36" s="508"/>
      <c r="CJ36" s="508"/>
      <c r="CK36" s="508"/>
      <c r="CL36" s="508"/>
      <c r="CM36" s="508"/>
      <c r="CN36" s="508"/>
      <c r="CO36" s="508"/>
      <c r="CP36" s="508"/>
      <c r="CQ36" s="508"/>
      <c r="CR36" s="508"/>
      <c r="CS36" s="508"/>
      <c r="CT36" s="508"/>
      <c r="CU36" s="508"/>
      <c r="CV36" s="508"/>
      <c r="CW36" s="508"/>
      <c r="CX36" s="508"/>
      <c r="CY36" s="508"/>
      <c r="CZ36" s="508"/>
      <c r="DA36" s="508"/>
      <c r="DB36" s="508"/>
      <c r="DC36" s="508"/>
      <c r="DD36" s="508"/>
      <c r="DE36" s="508"/>
      <c r="DF36" s="508"/>
      <c r="DG36" s="508"/>
      <c r="DH36" s="508"/>
      <c r="DI36" s="508"/>
      <c r="DJ36" s="508"/>
      <c r="DK36" s="508"/>
      <c r="DL36" s="508"/>
      <c r="DM36" s="508"/>
      <c r="DN36" s="508"/>
      <c r="DO36" s="508"/>
      <c r="DP36" s="508"/>
      <c r="DQ36" s="508"/>
      <c r="DR36" s="508"/>
      <c r="DS36" s="508"/>
      <c r="DT36" s="508"/>
      <c r="DU36" s="508"/>
      <c r="DV36" s="508"/>
      <c r="DW36" s="508"/>
      <c r="DX36" s="508"/>
      <c r="DY36" s="508"/>
      <c r="DZ36" s="508"/>
      <c r="EA36" s="508"/>
      <c r="EB36" s="508"/>
      <c r="EC36" s="508"/>
      <c r="ED36" s="508"/>
      <c r="EE36" s="508"/>
      <c r="EF36" s="508"/>
      <c r="EG36" s="508"/>
      <c r="EH36" s="508"/>
      <c r="EI36" s="508"/>
      <c r="EJ36" s="508"/>
      <c r="EK36" s="508"/>
      <c r="EL36" s="508"/>
      <c r="EM36" s="508"/>
      <c r="EN36" s="508"/>
      <c r="EO36" s="508"/>
      <c r="EP36" s="508"/>
      <c r="EQ36" s="508"/>
      <c r="ER36" s="508"/>
      <c r="ES36" s="508"/>
      <c r="ET36" s="508"/>
      <c r="EU36" s="508"/>
      <c r="EV36" s="508"/>
      <c r="EW36" s="508"/>
      <c r="EX36" s="508"/>
      <c r="EY36" s="508"/>
      <c r="EZ36" s="508"/>
      <c r="FA36" s="508"/>
      <c r="FB36" s="508"/>
      <c r="FC36" s="508"/>
      <c r="FD36" s="508"/>
      <c r="FE36" s="508"/>
      <c r="FF36" s="508"/>
      <c r="FG36" s="508"/>
      <c r="FH36" s="508"/>
      <c r="FI36" s="508"/>
      <c r="FJ36" s="508"/>
      <c r="FK36" s="508"/>
      <c r="FL36" s="508"/>
      <c r="FM36" s="508"/>
      <c r="FN36" s="508"/>
      <c r="FO36" s="508"/>
      <c r="FP36" s="508"/>
      <c r="FQ36" s="508"/>
      <c r="FR36" s="508"/>
      <c r="FS36" s="508"/>
      <c r="FT36" s="508"/>
      <c r="FU36" s="508"/>
      <c r="FV36" s="508"/>
      <c r="FW36" s="508"/>
      <c r="FX36" s="508"/>
      <c r="FY36" s="508"/>
      <c r="FZ36" s="508"/>
      <c r="GA36" s="508"/>
      <c r="GB36" s="508"/>
      <c r="GC36" s="508"/>
      <c r="GD36" s="508"/>
      <c r="GE36" s="508"/>
      <c r="GF36" s="508"/>
      <c r="GG36" s="508"/>
      <c r="GH36" s="508"/>
      <c r="GI36" s="508"/>
      <c r="GJ36" s="508"/>
      <c r="GK36" s="508"/>
      <c r="GL36" s="508"/>
      <c r="GM36" s="508"/>
      <c r="GN36" s="508"/>
      <c r="GO36" s="508"/>
      <c r="GP36" s="508"/>
      <c r="GQ36" s="508"/>
      <c r="GR36" s="508"/>
      <c r="GS36" s="508"/>
      <c r="GT36" s="508"/>
      <c r="GU36" s="508"/>
      <c r="GV36" s="508"/>
      <c r="GW36" s="508"/>
      <c r="GX36" s="508"/>
      <c r="GY36" s="508"/>
      <c r="GZ36" s="508"/>
      <c r="HA36" s="508"/>
      <c r="HB36" s="508"/>
      <c r="HC36" s="508"/>
      <c r="HD36" s="508"/>
      <c r="HE36" s="508"/>
      <c r="HF36" s="508"/>
      <c r="HG36" s="508"/>
      <c r="HH36" s="508"/>
      <c r="HI36" s="508"/>
      <c r="HJ36" s="508"/>
      <c r="HK36" s="508"/>
      <c r="HL36" s="508"/>
      <c r="HM36" s="508"/>
      <c r="HN36" s="508"/>
      <c r="HO36" s="508"/>
      <c r="HP36" s="508"/>
      <c r="HQ36" s="508"/>
      <c r="HR36" s="508"/>
      <c r="HS36" s="508"/>
      <c r="HT36" s="508"/>
      <c r="HU36" s="508"/>
      <c r="HV36" s="508"/>
      <c r="HW36" s="508"/>
      <c r="HX36" s="508"/>
      <c r="HY36" s="508"/>
    </row>
    <row r="37" spans="1:233" s="506" customFormat="1">
      <c r="B37" s="524"/>
      <c r="C37" s="524"/>
      <c r="D37" s="525"/>
      <c r="E37" t="s">
        <v>411</v>
      </c>
      <c r="F37" s="493" t="str">
        <f ca="1">_xll.PALO.DATAC("jedoxtest/EU_PM_CUBE02","#_Staatengruppen_und_NUTS","Langbezeichnung",$E37)</f>
        <v>Vietnam</v>
      </c>
      <c r="G37" s="494">
        <f ca="1">_xll.PALO.DATAC("jedoxtest/EU_PM_CUBE02","EUPM_Mittel2_Cube",$D$3,"Alle Beteiligungen","Alle Koordinatoren","Alle Unternehmensgrößen","-2","Alle Organisationstypen",28,"Alle Expertevaluierungsstatus","-2","-2",$E37,"-2","Alle","-2",G$4)</f>
        <v>32</v>
      </c>
      <c r="H37" s="494">
        <f ca="1">_xll.PALO.DATAC("jedoxtest/EU_PM_CUBE02","EUPM_Mittel2_Cube",$D$3,"Alle Beteiligungen","Alle Koordinatoren","Alle Unternehmensgrößen","-2","Alle Organisationstypen",28,"Alle Expertevaluierungsstatus","-2","-2",$E37,"-2","Alle","-2",H$4)</f>
        <v>1497362</v>
      </c>
      <c r="I37" s="495">
        <f t="shared" ca="1" si="0"/>
        <v>2.3289495709638211E-4</v>
      </c>
      <c r="J37" s="495">
        <f t="shared" ca="1" si="1"/>
        <v>2.568550801999272E-5</v>
      </c>
      <c r="K37" s="508"/>
      <c r="L37" s="488">
        <f ca="1">_xll.PALO.DATAC("jedoxtest/EU_PM_CUBE02","EUPM_Mittel2_Cube",$D$3,"Alle Beteiligungen","Alle Koordinatoren","Alle Unternehmensgrößen","-2","Alle Organisationstypen",28,"Alle Expertevaluierungsstatus","-2","-2",$E37,"-2","Alle","-2",L$4)</f>
        <v>32</v>
      </c>
      <c r="M37" s="488">
        <f ca="1">_xll.PALO.DATAC("jedoxtest/EU_PM_CUBE02","EUPM_Mittel2_Cube",$D$3,"Alle Beteiligungen","Alle Koordinatoren","Alle Unternehmensgrößen","-2","Alle Organisationstypen",28,"Alle Expertevaluierungsstatus","-2","-2",$E37,"-2","Alle","-2",M$4)</f>
        <v>1497362</v>
      </c>
      <c r="N37" s="488">
        <f ca="1">_xll.PALO.DATAC("jedoxtest/EU_PM_CUBE02","EUPM_Mittel2_Cube",$D$3,"Alle Beteiligungen","Alle Koordinatoren","Alle Unternehmensgrößen","-2","Alle Organisationstypen",28,"Alle Expertevaluierungsstatus","-2","-2",$E37,"-2","Alle","-2",N$4)</f>
        <v>0</v>
      </c>
      <c r="O37" s="489">
        <f t="shared" ca="1" si="2"/>
        <v>2.3289495709638211E-4</v>
      </c>
      <c r="P37" s="489">
        <f t="shared" ca="1" si="3"/>
        <v>2.568550801999272E-5</v>
      </c>
      <c r="Q37" s="489">
        <f t="shared" ca="1" si="4"/>
        <v>0</v>
      </c>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8"/>
      <c r="BC37" s="508"/>
      <c r="BD37" s="508"/>
      <c r="BE37" s="508"/>
      <c r="BF37" s="508"/>
      <c r="BG37" s="508"/>
      <c r="BH37" s="508"/>
      <c r="BI37" s="508"/>
      <c r="BJ37" s="508"/>
      <c r="BK37" s="508"/>
      <c r="BL37" s="508"/>
      <c r="BM37" s="508"/>
      <c r="BN37" s="508"/>
      <c r="BO37" s="508"/>
      <c r="BP37" s="508"/>
      <c r="BQ37" s="508"/>
      <c r="BR37" s="508"/>
      <c r="BS37" s="508"/>
      <c r="BT37" s="508"/>
      <c r="BU37" s="508"/>
      <c r="BV37" s="508"/>
      <c r="BW37" s="508"/>
      <c r="BX37" s="508"/>
      <c r="BY37" s="508"/>
      <c r="BZ37" s="508"/>
      <c r="CA37" s="508"/>
      <c r="CB37" s="508"/>
      <c r="CC37" s="508"/>
      <c r="CD37" s="508"/>
      <c r="CE37" s="508"/>
      <c r="CF37" s="508"/>
      <c r="CG37" s="508"/>
      <c r="CH37" s="508"/>
      <c r="CI37" s="508"/>
      <c r="CJ37" s="508"/>
      <c r="CK37" s="508"/>
      <c r="CL37" s="508"/>
      <c r="CM37" s="508"/>
      <c r="CN37" s="508"/>
      <c r="CO37" s="508"/>
      <c r="CP37" s="508"/>
      <c r="CQ37" s="508"/>
      <c r="CR37" s="508"/>
      <c r="CS37" s="508"/>
      <c r="CT37" s="508"/>
      <c r="CU37" s="508"/>
      <c r="CV37" s="508"/>
      <c r="CW37" s="508"/>
      <c r="CX37" s="508"/>
      <c r="CY37" s="508"/>
      <c r="CZ37" s="508"/>
      <c r="DA37" s="508"/>
      <c r="DB37" s="508"/>
      <c r="DC37" s="508"/>
      <c r="DD37" s="508"/>
      <c r="DE37" s="508"/>
      <c r="DF37" s="508"/>
      <c r="DG37" s="508"/>
      <c r="DH37" s="508"/>
      <c r="DI37" s="508"/>
      <c r="DJ37" s="508"/>
      <c r="DK37" s="508"/>
      <c r="DL37" s="508"/>
      <c r="DM37" s="508"/>
      <c r="DN37" s="508"/>
      <c r="DO37" s="508"/>
      <c r="DP37" s="508"/>
      <c r="DQ37" s="508"/>
      <c r="DR37" s="508"/>
      <c r="DS37" s="508"/>
      <c r="DT37" s="508"/>
      <c r="DU37" s="508"/>
      <c r="DV37" s="508"/>
      <c r="DW37" s="508"/>
      <c r="DX37" s="508"/>
      <c r="DY37" s="508"/>
      <c r="DZ37" s="508"/>
      <c r="EA37" s="508"/>
      <c r="EB37" s="508"/>
      <c r="EC37" s="508"/>
      <c r="ED37" s="508"/>
      <c r="EE37" s="508"/>
      <c r="EF37" s="508"/>
      <c r="EG37" s="508"/>
      <c r="EH37" s="508"/>
      <c r="EI37" s="508"/>
      <c r="EJ37" s="508"/>
      <c r="EK37" s="508"/>
      <c r="EL37" s="508"/>
      <c r="EM37" s="508"/>
      <c r="EN37" s="508"/>
      <c r="EO37" s="508"/>
      <c r="EP37" s="508"/>
      <c r="EQ37" s="508"/>
      <c r="ER37" s="508"/>
      <c r="ES37" s="508"/>
      <c r="ET37" s="508"/>
      <c r="EU37" s="508"/>
      <c r="EV37" s="508"/>
      <c r="EW37" s="508"/>
      <c r="EX37" s="508"/>
      <c r="EY37" s="508"/>
      <c r="EZ37" s="508"/>
      <c r="FA37" s="508"/>
      <c r="FB37" s="508"/>
      <c r="FC37" s="508"/>
      <c r="FD37" s="508"/>
      <c r="FE37" s="508"/>
      <c r="FF37" s="508"/>
      <c r="FG37" s="508"/>
      <c r="FH37" s="508"/>
      <c r="FI37" s="508"/>
      <c r="FJ37" s="508"/>
      <c r="FK37" s="508"/>
      <c r="FL37" s="508"/>
      <c r="FM37" s="508"/>
      <c r="FN37" s="508"/>
      <c r="FO37" s="508"/>
      <c r="FP37" s="508"/>
      <c r="FQ37" s="508"/>
      <c r="FR37" s="508"/>
      <c r="FS37" s="508"/>
      <c r="FT37" s="508"/>
      <c r="FU37" s="508"/>
      <c r="FV37" s="508"/>
      <c r="FW37" s="508"/>
      <c r="FX37" s="508"/>
      <c r="FY37" s="508"/>
      <c r="FZ37" s="508"/>
      <c r="GA37" s="508"/>
      <c r="GB37" s="508"/>
      <c r="GC37" s="508"/>
      <c r="GD37" s="508"/>
      <c r="GE37" s="508"/>
      <c r="GF37" s="508"/>
      <c r="GG37" s="508"/>
      <c r="GH37" s="508"/>
      <c r="GI37" s="508"/>
      <c r="GJ37" s="508"/>
      <c r="GK37" s="508"/>
      <c r="GL37" s="508"/>
      <c r="GM37" s="508"/>
      <c r="GN37" s="508"/>
      <c r="GO37" s="508"/>
      <c r="GP37" s="508"/>
      <c r="GQ37" s="508"/>
      <c r="GR37" s="508"/>
      <c r="GS37" s="508"/>
      <c r="GT37" s="508"/>
      <c r="GU37" s="508"/>
      <c r="GV37" s="508"/>
      <c r="GW37" s="508"/>
      <c r="GX37" s="508"/>
      <c r="GY37" s="508"/>
      <c r="GZ37" s="508"/>
      <c r="HA37" s="508"/>
      <c r="HB37" s="508"/>
      <c r="HC37" s="508"/>
      <c r="HD37" s="508"/>
      <c r="HE37" s="508"/>
      <c r="HF37" s="508"/>
      <c r="HG37" s="508"/>
      <c r="HH37" s="508"/>
      <c r="HI37" s="508"/>
      <c r="HJ37" s="508"/>
      <c r="HK37" s="508"/>
      <c r="HL37" s="508"/>
      <c r="HM37" s="508"/>
      <c r="HN37" s="508"/>
      <c r="HO37" s="508"/>
      <c r="HP37" s="508"/>
      <c r="HQ37" s="508"/>
      <c r="HR37" s="508"/>
      <c r="HS37" s="508"/>
      <c r="HT37" s="508"/>
      <c r="HU37" s="508"/>
      <c r="HV37" s="508"/>
      <c r="HW37" s="508"/>
      <c r="HX37" s="508"/>
      <c r="HY37" s="508"/>
    </row>
    <row r="38" spans="1:233" s="506" customFormat="1">
      <c r="B38" s="524"/>
      <c r="C38" s="524"/>
      <c r="D38" s="525"/>
      <c r="E38" t="s">
        <v>386</v>
      </c>
      <c r="F38" s="493" t="str">
        <f ca="1">_xll.PALO.DATAC("jedoxtest/EU_PM_CUBE02","#_Staatengruppen_und_NUTS","Langbezeichnung",$E38)</f>
        <v>Cote d'Ivoire</v>
      </c>
      <c r="G38" s="494">
        <f ca="1">_xll.PALO.DATAC("jedoxtest/EU_PM_CUBE02","EUPM_Mittel2_Cube",$D$3,"Alle Beteiligungen","Alle Koordinatoren","Alle Unternehmensgrößen","-2","Alle Organisationstypen",28,"Alle Expertevaluierungsstatus","-2","-2",$E38,"-2","Alle","-2",G$4)</f>
        <v>31</v>
      </c>
      <c r="H38" s="494">
        <f ca="1">_xll.PALO.DATAC("jedoxtest/EU_PM_CUBE02","EUPM_Mittel2_Cube",$D$3,"Alle Beteiligungen","Alle Koordinatoren","Alle Unternehmensgrößen","-2","Alle Organisationstypen",28,"Alle Expertevaluierungsstatus","-2","-2",$E38,"-2","Alle","-2",H$4)</f>
        <v>11810921.75</v>
      </c>
      <c r="I38" s="495">
        <f t="shared" ca="1" si="0"/>
        <v>2.2561698968712017E-4</v>
      </c>
      <c r="J38" s="495">
        <f t="shared" ca="1" si="1"/>
        <v>2.0260266076815856E-4</v>
      </c>
      <c r="K38" s="508"/>
      <c r="L38" s="488">
        <f ca="1">_xll.PALO.DATAC("jedoxtest/EU_PM_CUBE02","EUPM_Mittel2_Cube",$D$3,"Alle Beteiligungen","Alle Koordinatoren","Alle Unternehmensgrößen","-2","Alle Organisationstypen",28,"Alle Expertevaluierungsstatus","-2","-2",$E38,"-2","Alle","-2",L$4)</f>
        <v>31</v>
      </c>
      <c r="M38" s="488">
        <f ca="1">_xll.PALO.DATAC("jedoxtest/EU_PM_CUBE02","EUPM_Mittel2_Cube",$D$3,"Alle Beteiligungen","Alle Koordinatoren","Alle Unternehmensgrößen","-2","Alle Organisationstypen",28,"Alle Expertevaluierungsstatus","-2","-2",$E38,"-2","Alle","-2",M$4)</f>
        <v>11810921.75</v>
      </c>
      <c r="N38" s="488">
        <f ca="1">_xll.PALO.DATAC("jedoxtest/EU_PM_CUBE02","EUPM_Mittel2_Cube",$D$3,"Alle Beteiligungen","Alle Koordinatoren","Alle Unternehmensgrößen","-2","Alle Organisationstypen",28,"Alle Expertevaluierungsstatus","-2","-2",$E38,"-2","Alle","-2",N$4)</f>
        <v>0</v>
      </c>
      <c r="O38" s="489">
        <f t="shared" ca="1" si="2"/>
        <v>2.2561698968712017E-4</v>
      </c>
      <c r="P38" s="489">
        <f t="shared" ca="1" si="3"/>
        <v>2.0260266076815856E-4</v>
      </c>
      <c r="Q38" s="489">
        <f t="shared" ca="1" si="4"/>
        <v>0</v>
      </c>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8"/>
      <c r="BC38" s="508"/>
      <c r="BD38" s="508"/>
      <c r="BE38" s="508"/>
      <c r="BF38" s="508"/>
      <c r="BG38" s="508"/>
      <c r="BH38" s="508"/>
      <c r="BI38" s="508"/>
      <c r="BJ38" s="508"/>
      <c r="BK38" s="508"/>
      <c r="BL38" s="508"/>
      <c r="BM38" s="508"/>
      <c r="BN38" s="508"/>
      <c r="BO38" s="508"/>
      <c r="BP38" s="508"/>
      <c r="BQ38" s="508"/>
      <c r="BR38" s="508"/>
      <c r="BS38" s="508"/>
      <c r="BT38" s="508"/>
      <c r="BU38" s="508"/>
      <c r="BV38" s="508"/>
      <c r="BW38" s="508"/>
      <c r="BX38" s="508"/>
      <c r="BY38" s="508"/>
      <c r="BZ38" s="508"/>
      <c r="CA38" s="508"/>
      <c r="CB38" s="508"/>
      <c r="CC38" s="508"/>
      <c r="CD38" s="508"/>
      <c r="CE38" s="508"/>
      <c r="CF38" s="508"/>
      <c r="CG38" s="508"/>
      <c r="CH38" s="508"/>
      <c r="CI38" s="508"/>
      <c r="CJ38" s="508"/>
      <c r="CK38" s="508"/>
      <c r="CL38" s="508"/>
      <c r="CM38" s="508"/>
      <c r="CN38" s="508"/>
      <c r="CO38" s="508"/>
      <c r="CP38" s="508"/>
      <c r="CQ38" s="508"/>
      <c r="CR38" s="508"/>
      <c r="CS38" s="508"/>
      <c r="CT38" s="508"/>
      <c r="CU38" s="508"/>
      <c r="CV38" s="508"/>
      <c r="CW38" s="508"/>
      <c r="CX38" s="508"/>
      <c r="CY38" s="508"/>
      <c r="CZ38" s="508"/>
      <c r="DA38" s="508"/>
      <c r="DB38" s="508"/>
      <c r="DC38" s="508"/>
      <c r="DD38" s="508"/>
      <c r="DE38" s="508"/>
      <c r="DF38" s="508"/>
      <c r="DG38" s="508"/>
      <c r="DH38" s="508"/>
      <c r="DI38" s="508"/>
      <c r="DJ38" s="508"/>
      <c r="DK38" s="508"/>
      <c r="DL38" s="508"/>
      <c r="DM38" s="508"/>
      <c r="DN38" s="508"/>
      <c r="DO38" s="508"/>
      <c r="DP38" s="508"/>
      <c r="DQ38" s="508"/>
      <c r="DR38" s="508"/>
      <c r="DS38" s="508"/>
      <c r="DT38" s="508"/>
      <c r="DU38" s="508"/>
      <c r="DV38" s="508"/>
      <c r="DW38" s="508"/>
      <c r="DX38" s="508"/>
      <c r="DY38" s="508"/>
      <c r="DZ38" s="508"/>
      <c r="EA38" s="508"/>
      <c r="EB38" s="508"/>
      <c r="EC38" s="508"/>
      <c r="ED38" s="508"/>
      <c r="EE38" s="508"/>
      <c r="EF38" s="508"/>
      <c r="EG38" s="508"/>
      <c r="EH38" s="508"/>
      <c r="EI38" s="508"/>
      <c r="EJ38" s="508"/>
      <c r="EK38" s="508"/>
      <c r="EL38" s="508"/>
      <c r="EM38" s="508"/>
      <c r="EN38" s="508"/>
      <c r="EO38" s="508"/>
      <c r="EP38" s="508"/>
      <c r="EQ38" s="508"/>
      <c r="ER38" s="508"/>
      <c r="ES38" s="508"/>
      <c r="ET38" s="508"/>
      <c r="EU38" s="508"/>
      <c r="EV38" s="508"/>
      <c r="EW38" s="508"/>
      <c r="EX38" s="508"/>
      <c r="EY38" s="508"/>
      <c r="EZ38" s="508"/>
      <c r="FA38" s="508"/>
      <c r="FB38" s="508"/>
      <c r="FC38" s="508"/>
      <c r="FD38" s="508"/>
      <c r="FE38" s="508"/>
      <c r="FF38" s="508"/>
      <c r="FG38" s="508"/>
      <c r="FH38" s="508"/>
      <c r="FI38" s="508"/>
      <c r="FJ38" s="508"/>
      <c r="FK38" s="508"/>
      <c r="FL38" s="508"/>
      <c r="FM38" s="508"/>
      <c r="FN38" s="508"/>
      <c r="FO38" s="508"/>
      <c r="FP38" s="508"/>
      <c r="FQ38" s="508"/>
      <c r="FR38" s="508"/>
      <c r="FS38" s="508"/>
      <c r="FT38" s="508"/>
      <c r="FU38" s="508"/>
      <c r="FV38" s="508"/>
      <c r="FW38" s="508"/>
      <c r="FX38" s="508"/>
      <c r="FY38" s="508"/>
      <c r="FZ38" s="508"/>
      <c r="GA38" s="508"/>
      <c r="GB38" s="508"/>
      <c r="GC38" s="508"/>
      <c r="GD38" s="508"/>
      <c r="GE38" s="508"/>
      <c r="GF38" s="508"/>
      <c r="GG38" s="508"/>
      <c r="GH38" s="508"/>
      <c r="GI38" s="508"/>
      <c r="GJ38" s="508"/>
      <c r="GK38" s="508"/>
      <c r="GL38" s="508"/>
      <c r="GM38" s="508"/>
      <c r="GN38" s="508"/>
      <c r="GO38" s="508"/>
      <c r="GP38" s="508"/>
      <c r="GQ38" s="508"/>
      <c r="GR38" s="508"/>
      <c r="GS38" s="508"/>
      <c r="GT38" s="508"/>
      <c r="GU38" s="508"/>
      <c r="GV38" s="508"/>
      <c r="GW38" s="508"/>
      <c r="GX38" s="508"/>
      <c r="GY38" s="508"/>
      <c r="GZ38" s="508"/>
      <c r="HA38" s="508"/>
      <c r="HB38" s="508"/>
      <c r="HC38" s="508"/>
      <c r="HD38" s="508"/>
      <c r="HE38" s="508"/>
      <c r="HF38" s="508"/>
      <c r="HG38" s="508"/>
      <c r="HH38" s="508"/>
      <c r="HI38" s="508"/>
      <c r="HJ38" s="508"/>
      <c r="HK38" s="508"/>
      <c r="HL38" s="508"/>
      <c r="HM38" s="508"/>
      <c r="HN38" s="508"/>
      <c r="HO38" s="508"/>
      <c r="HP38" s="508"/>
      <c r="HQ38" s="508"/>
      <c r="HR38" s="508"/>
      <c r="HS38" s="508"/>
      <c r="HT38" s="508"/>
      <c r="HU38" s="508"/>
      <c r="HV38" s="508"/>
      <c r="HW38" s="508"/>
      <c r="HX38" s="508"/>
      <c r="HY38" s="508"/>
    </row>
    <row r="39" spans="1:233">
      <c r="A39" s="480"/>
      <c r="B39" s="480"/>
      <c r="C39" s="484"/>
      <c r="D39" s="502"/>
      <c r="E39" s="482"/>
      <c r="F39" s="503"/>
      <c r="G39" s="504"/>
      <c r="H39" s="504"/>
      <c r="I39" s="505"/>
      <c r="J39" s="479"/>
    </row>
    <row r="40" spans="1:233" s="506" customFormat="1" ht="29.45" customHeight="1">
      <c r="E40" s="507"/>
      <c r="F40" s="755" t="s">
        <v>243</v>
      </c>
      <c r="G40" s="755"/>
      <c r="H40" s="755"/>
      <c r="I40" s="755"/>
      <c r="J40" s="755"/>
      <c r="K40" s="755"/>
      <c r="L40" s="755"/>
      <c r="M40" s="755"/>
      <c r="N40" s="755"/>
      <c r="O40" s="755"/>
      <c r="P40" s="755"/>
      <c r="Q40" s="755"/>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8"/>
      <c r="AZ40" s="508"/>
      <c r="BA40" s="508"/>
      <c r="BB40" s="508"/>
      <c r="BC40" s="508"/>
      <c r="BD40" s="508"/>
      <c r="BE40" s="508"/>
      <c r="BF40" s="508"/>
      <c r="BG40" s="508"/>
      <c r="BH40" s="508"/>
      <c r="BI40" s="508"/>
      <c r="BJ40" s="508"/>
      <c r="BK40" s="508"/>
      <c r="BL40" s="508"/>
      <c r="BM40" s="508"/>
      <c r="BN40" s="508"/>
      <c r="BO40" s="508"/>
      <c r="BP40" s="508"/>
      <c r="BQ40" s="508"/>
      <c r="BR40" s="508"/>
      <c r="BS40" s="508"/>
      <c r="BT40" s="508"/>
      <c r="BU40" s="508"/>
      <c r="BV40" s="508"/>
      <c r="BW40" s="508"/>
      <c r="BX40" s="508"/>
      <c r="BY40" s="508"/>
      <c r="BZ40" s="508"/>
      <c r="CA40" s="508"/>
      <c r="CB40" s="508"/>
      <c r="CC40" s="508"/>
      <c r="CD40" s="508"/>
      <c r="CE40" s="508"/>
      <c r="CF40" s="508"/>
      <c r="CG40" s="508"/>
      <c r="CH40" s="508"/>
      <c r="CI40" s="508"/>
      <c r="CJ40" s="508"/>
      <c r="CK40" s="508"/>
      <c r="CL40" s="508"/>
      <c r="CM40" s="508"/>
      <c r="CN40" s="508"/>
      <c r="CO40" s="508"/>
      <c r="CP40" s="508"/>
      <c r="CQ40" s="508"/>
      <c r="CR40" s="508"/>
      <c r="CS40" s="508"/>
      <c r="CT40" s="508"/>
      <c r="CU40" s="508"/>
      <c r="CV40" s="508"/>
      <c r="CW40" s="508"/>
      <c r="CX40" s="508"/>
      <c r="CY40" s="508"/>
      <c r="CZ40" s="508"/>
      <c r="DA40" s="508"/>
      <c r="DB40" s="508"/>
      <c r="DC40" s="508"/>
      <c r="DD40" s="508"/>
      <c r="DE40" s="508"/>
      <c r="DF40" s="508"/>
      <c r="DG40" s="508"/>
      <c r="DH40" s="508"/>
      <c r="DI40" s="508"/>
      <c r="DJ40" s="508"/>
      <c r="DK40" s="508"/>
      <c r="DL40" s="508"/>
      <c r="DM40" s="508"/>
      <c r="DN40" s="508"/>
      <c r="DO40" s="508"/>
      <c r="DP40" s="508"/>
      <c r="DQ40" s="508"/>
      <c r="DR40" s="508"/>
      <c r="DS40" s="508"/>
      <c r="DT40" s="508"/>
      <c r="DU40" s="508"/>
      <c r="DV40" s="508"/>
      <c r="DW40" s="508"/>
      <c r="DX40" s="508"/>
      <c r="DY40" s="508"/>
      <c r="DZ40" s="508"/>
      <c r="EA40" s="508"/>
      <c r="EB40" s="508"/>
      <c r="EC40" s="508"/>
      <c r="ED40" s="508"/>
      <c r="EE40" s="508"/>
      <c r="EF40" s="508"/>
      <c r="EG40" s="508"/>
      <c r="EH40" s="508"/>
      <c r="EI40" s="508"/>
      <c r="EJ40" s="508"/>
      <c r="EK40" s="508"/>
      <c r="EL40" s="508"/>
      <c r="EM40" s="508"/>
      <c r="EN40" s="508"/>
      <c r="EO40" s="508"/>
      <c r="EP40" s="508"/>
      <c r="EQ40" s="508"/>
      <c r="ER40" s="508"/>
      <c r="ES40" s="508"/>
      <c r="ET40" s="508"/>
      <c r="EU40" s="508"/>
      <c r="EV40" s="508"/>
      <c r="EW40" s="508"/>
      <c r="EX40" s="508"/>
      <c r="EY40" s="508"/>
      <c r="EZ40" s="508"/>
      <c r="FA40" s="508"/>
      <c r="FB40" s="508"/>
      <c r="FC40" s="508"/>
      <c r="FD40" s="508"/>
      <c r="FE40" s="508"/>
      <c r="FF40" s="508"/>
      <c r="FG40" s="508"/>
      <c r="FH40" s="508"/>
      <c r="FI40" s="508"/>
      <c r="FJ40" s="508"/>
      <c r="FK40" s="508"/>
      <c r="FL40" s="508"/>
      <c r="FM40" s="508"/>
      <c r="FN40" s="508"/>
      <c r="FO40" s="508"/>
      <c r="FP40" s="508"/>
      <c r="FQ40" s="508"/>
      <c r="FR40" s="508"/>
      <c r="FS40" s="508"/>
      <c r="FT40" s="508"/>
      <c r="FU40" s="508"/>
      <c r="FV40" s="508"/>
      <c r="FW40" s="508"/>
      <c r="FX40" s="508"/>
      <c r="FY40" s="508"/>
      <c r="FZ40" s="508"/>
      <c r="GA40" s="508"/>
      <c r="GB40" s="508"/>
      <c r="GC40" s="508"/>
      <c r="GD40" s="508"/>
      <c r="GE40" s="508"/>
      <c r="GF40" s="508"/>
      <c r="GG40" s="508"/>
      <c r="GH40" s="508"/>
      <c r="GI40" s="508"/>
      <c r="GJ40" s="508"/>
      <c r="GK40" s="508"/>
      <c r="GL40" s="508"/>
      <c r="GM40" s="508"/>
      <c r="GN40" s="508"/>
      <c r="GO40" s="508"/>
      <c r="GP40" s="508"/>
      <c r="GQ40" s="508"/>
      <c r="GR40" s="508"/>
      <c r="GS40" s="508"/>
      <c r="GT40" s="508"/>
      <c r="GU40" s="508"/>
      <c r="GV40" s="508"/>
      <c r="GW40" s="508"/>
      <c r="GX40" s="508"/>
      <c r="GY40" s="508"/>
      <c r="GZ40" s="508"/>
      <c r="HA40" s="508"/>
      <c r="HB40" s="508"/>
      <c r="HC40" s="508"/>
      <c r="HD40" s="508"/>
      <c r="HE40" s="508"/>
      <c r="HF40" s="508"/>
      <c r="HG40" s="508"/>
      <c r="HH40" s="508"/>
      <c r="HI40" s="508"/>
      <c r="HJ40" s="508"/>
      <c r="HK40" s="508"/>
      <c r="HL40" s="508"/>
      <c r="HM40" s="508"/>
      <c r="HN40" s="508"/>
      <c r="HO40" s="508"/>
      <c r="HP40" s="508"/>
      <c r="HQ40" s="508"/>
      <c r="HR40" s="508"/>
      <c r="HS40" s="508"/>
      <c r="HT40" s="508"/>
      <c r="HU40" s="508"/>
      <c r="HV40" s="508"/>
      <c r="HW40" s="508"/>
      <c r="HX40" s="508"/>
      <c r="HY40" s="508"/>
    </row>
    <row r="41" spans="1:233">
      <c r="A41" s="480"/>
      <c r="D41" s="509"/>
      <c r="E41" s="482"/>
      <c r="F41" s="510"/>
      <c r="G41" s="510"/>
      <c r="H41" s="510"/>
      <c r="I41" s="505"/>
    </row>
    <row r="42" spans="1:233">
      <c r="A42" s="480"/>
      <c r="B42" s="480"/>
      <c r="C42" s="480"/>
      <c r="D42" s="480"/>
      <c r="E42" s="482"/>
      <c r="F42" s="756" t="str">
        <f ca="1">"Quelle: EC "&amp;_xll.PALO.DATA("jedoxtest/EU_PM_CUBE02","#_Datenstand","reference_month",$D$3)&amp;"/"&amp;_xll.PALO.DATA("jedoxtest/EU_PM_CUBE02","#_Datenstand","reference_year",$D$3)&amp;"; Darstellung FFG"</f>
        <v>Quelle: EC 5/2026; Darstellung FFG</v>
      </c>
      <c r="G42" s="756"/>
      <c r="H42" s="756"/>
      <c r="I42" s="756"/>
      <c r="J42" s="756"/>
      <c r="K42" s="756"/>
      <c r="L42" s="756"/>
      <c r="M42" s="756"/>
      <c r="N42" s="756"/>
      <c r="O42" s="756"/>
      <c r="P42" s="756"/>
      <c r="Q42" s="756"/>
    </row>
    <row r="43" spans="1:233">
      <c r="A43" s="480"/>
      <c r="B43" s="480"/>
      <c r="C43" s="480"/>
      <c r="D43" s="480"/>
      <c r="E43" s="482"/>
      <c r="F43" s="480"/>
      <c r="G43" s="480"/>
      <c r="H43" s="480"/>
      <c r="I43" s="480"/>
    </row>
    <row r="44" spans="1:233">
      <c r="G44" s="512"/>
      <c r="H44" s="512"/>
    </row>
    <row r="45" spans="1:233">
      <c r="E45" s="511">
        <v>1291</v>
      </c>
      <c r="F45" s="509" t="str">
        <f ca="1">_xll.PALO.DATAC("jedoxtest/EU_PM_CUBE02","#_Staatengruppen_und_NUTS","Langbezeichnung",$E45)</f>
        <v>Liechtenstein</v>
      </c>
      <c r="G45" s="513">
        <f ca="1">_xll.PALO.DATAC("jedoxtest/EU_PM_CUBE02","EUPM_Mittel2_Cube",$D$3,"Alle Beteiligungen","Alle Koordinatoren","Alle Unternehmensgrößen","-2","Alle Organisationstypen",28,"Alle Expertevaluierungsstatus","-2","-2",$E45,"-2","Alle","-2",G$4)</f>
        <v>5</v>
      </c>
      <c r="H45" s="513">
        <f ca="1">_xll.PALO.DATAC("jedoxtest/EU_PM_CUBE02","EUPM_Mittel2_Cube",$D$3,"Alle Beteiligungen","Alle Koordinatoren","Alle Unternehmensgrößen","-2","Alle Organisationstypen",28,"Alle Expertevaluierungsstatus","-2","-2",$E45,"-2","Alle","-2",H$4)</f>
        <v>0</v>
      </c>
    </row>
    <row r="46" spans="1:233">
      <c r="E46" s="511">
        <v>154</v>
      </c>
      <c r="F46" s="509" t="str">
        <f ca="1">_xll.PALO.DATAC("jedoxtest/EU_PM_CUBE02","#_Staatengruppen_und_NUTS","Langbezeichnung",$E46)</f>
        <v>Schweiz</v>
      </c>
      <c r="G46" s="513">
        <f ca="1">_xll.PALO.DATAC("jedoxtest/EU_PM_CUBE02","EUPM_Mittel2_Cube",$D$3,"Alle Beteiligungen","Alle Koordinatoren","Alle Unternehmensgrößen","-2","Alle Organisationstypen",28,"Alle Expertevaluierungsstatus","-2","-2",$E46,"-2","Alle","-2",G$4)</f>
        <v>3417</v>
      </c>
      <c r="H46" s="513">
        <f ca="1">_xll.PALO.DATAC("jedoxtest/EU_PM_CUBE02","EUPM_Mittel2_Cube",$D$3,"Alle Beteiligungen","Alle Koordinatoren","Alle Unternehmensgrößen","-2","Alle Organisationstypen",28,"Alle Expertevaluierungsstatus","-2","-2",$E46,"-2","Alle","-2",H$4)</f>
        <v>427353163.26999998</v>
      </c>
    </row>
    <row r="47" spans="1:233">
      <c r="E47" s="511">
        <v>-2</v>
      </c>
      <c r="F47" s="509" t="str">
        <f ca="1">_xll.PALO.DATAC("jedoxtest/EU_PM_CUBE02","#_Staatengruppen_und_NUTS","Langbezeichnung",$E47)</f>
        <v>Alle Staaten</v>
      </c>
      <c r="G47" s="513">
        <f ca="1">_xll.PALO.DATAC("jedoxtest/EU_PM_CUBE02","EUPM_Mittel2_Cube",$D$3,"Alle Beteiligungen","Alle Koordinatoren","Alle Unternehmensgrößen","-2","Alle Organisationstypen",28,"Alle Expertevaluierungsstatus","-2","-2",$E47,"-2","Alle","-2",G$4)</f>
        <v>137401</v>
      </c>
      <c r="H47" s="513">
        <f ca="1">_xll.PALO.DATAC("jedoxtest/EU_PM_CUBE02","EUPM_Mittel2_Cube",$D$3,"Alle Beteiligungen","Alle Koordinatoren","Alle Unternehmensgrößen","-2","Alle Organisationstypen",28,"Alle Expertevaluierungsstatus","-2","-2",$E47,"-2","Alle","-2",H$4)</f>
        <v>58295985379.557404</v>
      </c>
      <c r="L47" s="513">
        <f ca="1">_xll.PALO.DATAC("jedoxtest/EU_PM_CUBE02","EUPM_Mittel2_Cube",$D$3,"Alle Beteiligungen","Alle Koordinatoren","Alle Unternehmensgrößen","-2","Alle Organisationstypen",28,"Alle Expertevaluierungsstatus","-2","-2",$E47,"-2","Alle","-2",L$4)</f>
        <v>137401</v>
      </c>
      <c r="M47" s="513">
        <f ca="1">_xll.PALO.DATAC("jedoxtest/EU_PM_CUBE02","EUPM_Mittel2_Cube",$D$3,"Alle Beteiligungen","Alle Koordinatoren","Alle Unternehmensgrößen","-2","Alle Organisationstypen",28,"Alle Expertevaluierungsstatus","-2","-2",$E47,"-2","Alle","-2",M$4)</f>
        <v>58295985379.557404</v>
      </c>
      <c r="N47" s="488">
        <f ca="1">_xll.PALO.DATAC("jedoxtest/EU_PM_CUBE02","EUPM_Mittel2_Cube",$D$3,"Alle Beteiligungen","Alle Koordinatoren","Alle Unternehmensgrößen","-2","Alle Organisationstypen",28,"Alle Expertevaluierungsstatus","-2","-2",$E47,"-2","Alle","-2",N$4)</f>
        <v>23372</v>
      </c>
    </row>
  </sheetData>
  <sortState xmlns:xlrd2="http://schemas.microsoft.com/office/spreadsheetml/2017/richdata2" ref="E8:Q38">
    <sortCondition descending="1" ref="G8:G38"/>
    <sortCondition ref="F8:F38"/>
  </sortState>
  <mergeCells count="2">
    <mergeCell ref="F40:Q40"/>
    <mergeCell ref="F42:Q42"/>
  </mergeCells>
  <pageMargins left="0.70866141732283472" right="0.70866141732283472" top="0.74803149606299213" bottom="0.74803149606299213" header="0.31496062992125984" footer="0.31496062992125984"/>
  <pageSetup paperSize="9" scale="78"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9">
    <pageSetUpPr fitToPage="1"/>
  </sheetPr>
  <dimension ref="B1:K37"/>
  <sheetViews>
    <sheetView zoomScaleNormal="100" workbookViewId="0">
      <selection activeCell="B4" sqref="B4"/>
    </sheetView>
  </sheetViews>
  <sheetFormatPr baseColWidth="10" defaultColWidth="11.42578125" defaultRowHeight="15"/>
  <cols>
    <col min="1" max="16384" width="11.42578125" style="78"/>
  </cols>
  <sheetData>
    <row r="1" spans="2:11" ht="209.25" customHeight="1"/>
    <row r="2" spans="2:11" ht="24.75" customHeight="1">
      <c r="B2" s="219" t="s">
        <v>56</v>
      </c>
      <c r="C2" s="116"/>
      <c r="D2" s="116"/>
      <c r="E2" s="116"/>
      <c r="F2" s="116"/>
    </row>
    <row r="3" spans="2:11" ht="15" customHeight="1"/>
    <row r="4" spans="2:11" ht="15" customHeight="1"/>
    <row r="5" spans="2:11" ht="15" customHeight="1"/>
    <row r="6" spans="2:11" ht="15" customHeight="1"/>
    <row r="7" spans="2:11" ht="82.5" customHeight="1">
      <c r="B7" s="757" t="s">
        <v>434</v>
      </c>
      <c r="C7" s="757"/>
      <c r="D7" s="757"/>
      <c r="E7" s="757"/>
      <c r="F7" s="757"/>
      <c r="G7" s="757"/>
      <c r="H7" s="757"/>
      <c r="I7" s="117"/>
      <c r="J7" s="117"/>
      <c r="K7" s="117"/>
    </row>
    <row r="8" spans="2:11" ht="15" customHeight="1"/>
    <row r="9" spans="2:11" ht="15" customHeight="1"/>
    <row r="10" spans="2:11" ht="15" customHeight="1"/>
    <row r="11" spans="2:11" ht="15" customHeight="1"/>
    <row r="12" spans="2:11" ht="15" customHeight="1"/>
    <row r="13" spans="2:11" ht="15" customHeight="1"/>
    <row r="14" spans="2:11" ht="15" customHeight="1"/>
    <row r="15" spans="2:11" ht="15" customHeight="1"/>
    <row r="16" spans="2: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sheetData>
  <mergeCells count="1">
    <mergeCell ref="B7:H7"/>
  </mergeCells>
  <pageMargins left="0.70866141732283472" right="0.70866141732283472" top="0.74803149606299213" bottom="0.74803149606299213" header="0.31496062992125984" footer="0.31496062992125984"/>
  <pageSetup paperSize="9" scale="93" orientation="portrait"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40">
    <tabColor rgb="FF92D050"/>
    <pageSetUpPr fitToPage="1"/>
  </sheetPr>
  <dimension ref="A1:W32"/>
  <sheetViews>
    <sheetView zoomScaleNormal="100" workbookViewId="0">
      <selection activeCell="O8" sqref="O8"/>
    </sheetView>
  </sheetViews>
  <sheetFormatPr baseColWidth="10" defaultColWidth="11.42578125" defaultRowHeight="15"/>
  <cols>
    <col min="1" max="1" width="4.28515625" style="181" customWidth="1"/>
    <col min="2" max="2" width="13.7109375" style="181" hidden="1" customWidth="1"/>
    <col min="3" max="3" width="40.140625" style="181" customWidth="1"/>
    <col min="4" max="7" width="12.28515625" style="352" hidden="1" customWidth="1"/>
    <col min="8" max="10" width="12.28515625" style="352" customWidth="1"/>
    <col min="11" max="14" width="12.28515625" style="352" hidden="1" customWidth="1"/>
    <col min="15" max="17" width="12.28515625" style="352" customWidth="1"/>
    <col min="18" max="18" width="12.28515625" style="352" hidden="1" customWidth="1"/>
    <col min="19" max="21" width="12.28515625" style="352" customWidth="1"/>
    <col min="22" max="22" width="15" style="352" hidden="1" customWidth="1"/>
    <col min="23" max="23" width="3.28515625" style="181" customWidth="1"/>
    <col min="24" max="16384" width="11.42578125" style="181"/>
  </cols>
  <sheetData>
    <row r="1" spans="2:23" s="352" customFormat="1" ht="15" customHeight="1">
      <c r="B1" s="352" t="b">
        <f ca="1">_xll.PALO.HIDECOLUMN(ISBLANK($A$1))</f>
        <v>1</v>
      </c>
      <c r="G1" s="352" t="b">
        <f ca="1">_xll.PALO.HIDECOLUMN(ISBLANK($A$1))</f>
        <v>1</v>
      </c>
      <c r="K1" s="352" t="b">
        <f ca="1">_xll.PALO.HIDECOLUMN(ISBLANK($A$1))</f>
        <v>1</v>
      </c>
      <c r="R1" s="352" t="b">
        <f ca="1">_xll.PALO.HIDECOLUMN(ISBLANK($A$1))</f>
        <v>1</v>
      </c>
      <c r="V1" s="352" t="b">
        <f ca="1">_xll.PALO.HIDECOLUMN(ISBLANK($A$1))</f>
        <v>1</v>
      </c>
    </row>
    <row r="2" spans="2:23" s="352" customFormat="1" ht="25.5" customHeight="1">
      <c r="C2" s="758" t="str">
        <f ca="1">_xll.PALO.DATA("jedoxtest/EU_PM_CUBE02","#_Datenstand","frameworkprog_long",Datenstand)&amp;": Beteiligung nach Programmen für Alle Staaten, EU-27 und Österreich"</f>
        <v>Horizon Europe: Beteiligung nach Programmen für Alle Staaten, EU-27 und Österreich</v>
      </c>
      <c r="D2" s="758"/>
      <c r="E2" s="758"/>
      <c r="F2" s="758"/>
      <c r="G2" s="758"/>
      <c r="H2" s="758"/>
      <c r="I2" s="758"/>
      <c r="J2" s="758"/>
      <c r="K2" s="758"/>
      <c r="L2" s="758"/>
      <c r="M2" s="758"/>
      <c r="N2" s="758"/>
      <c r="O2" s="758"/>
      <c r="P2" s="758"/>
      <c r="Q2" s="758"/>
      <c r="R2" s="758"/>
      <c r="S2" s="758"/>
      <c r="T2" s="758"/>
      <c r="U2" s="758"/>
      <c r="V2" s="758"/>
      <c r="W2" s="758"/>
    </row>
    <row r="3" spans="2:23" s="352" customFormat="1" ht="10.5" customHeight="1">
      <c r="D3" s="222"/>
      <c r="E3" s="222"/>
      <c r="F3" s="222"/>
      <c r="G3" s="222"/>
      <c r="H3" s="222"/>
      <c r="I3" s="222"/>
      <c r="J3" s="222"/>
      <c r="K3" s="222"/>
      <c r="L3" s="222"/>
      <c r="M3" s="222"/>
      <c r="N3" s="222"/>
      <c r="O3" s="222"/>
      <c r="P3" s="222"/>
      <c r="Q3" s="222"/>
      <c r="R3" s="222"/>
      <c r="S3" s="222"/>
      <c r="T3" s="222"/>
      <c r="U3" s="222"/>
      <c r="V3" s="222"/>
    </row>
    <row r="4" spans="2:23" ht="16.5" customHeight="1">
      <c r="D4" s="741" t="s">
        <v>38</v>
      </c>
      <c r="E4" s="741"/>
      <c r="F4" s="742"/>
      <c r="G4" s="182" t="s">
        <v>35</v>
      </c>
      <c r="H4" s="741" t="s">
        <v>1</v>
      </c>
      <c r="I4" s="741"/>
      <c r="J4" s="742"/>
      <c r="K4" s="182" t="s">
        <v>35</v>
      </c>
      <c r="L4" s="741" t="str">
        <f>UPPER("Erfolgsquote der Beteiligung")</f>
        <v>ERFOLGSQUOTE DER BETEILIGUNG</v>
      </c>
      <c r="M4" s="741"/>
      <c r="N4" s="742"/>
      <c r="O4" s="760" t="s">
        <v>3</v>
      </c>
      <c r="P4" s="741"/>
      <c r="Q4" s="742"/>
      <c r="R4" s="182" t="s">
        <v>35</v>
      </c>
      <c r="S4" s="741" t="s">
        <v>281</v>
      </c>
      <c r="T4" s="741"/>
      <c r="U4" s="741"/>
      <c r="V4" s="183" t="s">
        <v>35</v>
      </c>
    </row>
    <row r="5" spans="2:23" ht="29.25" customHeight="1">
      <c r="C5" s="360"/>
      <c r="D5" s="184" t="str">
        <f>UPPER("Alle Staaten")</f>
        <v>ALLE STAATEN</v>
      </c>
      <c r="E5" s="184" t="s">
        <v>167</v>
      </c>
      <c r="F5" s="278" t="s">
        <v>21</v>
      </c>
      <c r="G5" s="184"/>
      <c r="H5" s="184" t="str">
        <f>UPPER("Alle Staaten")</f>
        <v>ALLE STAATEN</v>
      </c>
      <c r="I5" s="184" t="s">
        <v>167</v>
      </c>
      <c r="J5" s="278" t="s">
        <v>21</v>
      </c>
      <c r="K5" s="184"/>
      <c r="L5" s="184" t="str">
        <f>UPPER("Alle Staaten")</f>
        <v>ALLE STAATEN</v>
      </c>
      <c r="M5" s="184" t="s">
        <v>167</v>
      </c>
      <c r="N5" s="278" t="s">
        <v>21</v>
      </c>
      <c r="O5" s="184" t="str">
        <f>UPPER("Alle Staaten")</f>
        <v>ALLE STAATEN</v>
      </c>
      <c r="P5" s="184" t="s">
        <v>167</v>
      </c>
      <c r="Q5" s="278" t="s">
        <v>21</v>
      </c>
      <c r="R5" s="184"/>
      <c r="S5" s="184" t="str">
        <f>UPPER("Alle Staaten")</f>
        <v>ALLE STAATEN</v>
      </c>
      <c r="T5" s="184" t="s">
        <v>167</v>
      </c>
      <c r="U5" s="184" t="s">
        <v>21</v>
      </c>
      <c r="V5" s="185"/>
    </row>
    <row r="6" spans="2:2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Organisationstypen",5,"Alle Expertevaluierungsstatus",$B6,"-2","-2","-2","Alle","-2","anzahl_beteiligungen")</f>
        <v>753198</v>
      </c>
      <c r="E6" s="187">
        <f ca="1">_xll.PALO.DATAC("jedoxtest/EU_PM_CUBE02","EUPM_Mittel2_Cube",Datenstand,"Alle Beteiligungen","Alle Koordinatoren","Alle Unternehmensgrößen","-2","Alle Organisationstypen",5,"Alle Expertevaluierungsstatus",$B6,"-2",1000001,"-2","Alle","-2","anzahl_beteiligungen")</f>
        <v>604256</v>
      </c>
      <c r="F6" s="190">
        <f ca="1">_xll.PALO.DATAC("jedoxtest/EU_PM_CUBE02","EUPM_Mittel2_Cube",Datenstand,"Alle Beteiligungen","Alle Koordinatoren","Alle Unternehmensgrößen","-2","Alle Organisationstypen",5,"Alle Expertevaluierungsstatus",$B6,"-2",1,"-2","Alle","-2","anzahl_beteiligungen")</f>
        <v>20643</v>
      </c>
      <c r="G6" s="188">
        <f ca="1">IFERROR(_xll.PALO.DATAC("jedoxtest/EU_PM_CUBE02","EUPM_Mittel2_Cube",Datenstand,"Alle Beteiligungen","Alle Koordinatoren","Alle Unternehmensgrößen","-2","Alle Organisationstypen",5,"Alle Expertevaluierungsstatus",$B6,"-2",1,"-2","Alle","-2","anzahl_beteiligungen")/_xll.PALO.DATAC("jedoxtest/EU_PM_CUBE02","EUPM_Mittel2_Cube",Datenstand,"Alle Beteiligungen","Alle Koordinatoren","Alle Unternehmensgrößen","-2","Alle Organisationstypen",5,"Alle Expertevaluierungsstatus",$B6,"-2",-2,"-2","Alle","-2","anzahl_beteiligungen"),"-  ")</f>
        <v>2.7407135972214478E-2</v>
      </c>
      <c r="H6" s="187">
        <f ca="1">_xll.PALO.DATAC("jedoxtest/EU_PM_CUBE02","EUPM_Mittel2_Cube",Datenstand,"Alle Beteiligungen","Alle Koordinatoren","Alle Unternehmensgrößen","-2","Alle Organisationstypen",28,"Alle Expertevaluierungsstatus",$B6,"-2","-2","-2","Alle","-2","anzahl_beteiligungen")</f>
        <v>137401</v>
      </c>
      <c r="I6" s="187">
        <f ca="1">_xll.PALO.DATAC("jedoxtest/EU_PM_CUBE02","EUPM_Mittel2_Cube",Datenstand,"Alle Beteiligungen","Alle Koordinatoren","Alle Unternehmensgrößen","-2","Alle Organisationstypen",28,"Alle Expertevaluierungsstatus",$B6,"-2",1000001,"-2","Alle","-2","anzahl_beteiligungen")</f>
        <v>113028</v>
      </c>
      <c r="J6" s="190">
        <f ca="1">_xll.PALO.DATAC("jedoxtest/EU_PM_CUBE02","EUPM_Mittel2_Cube",Datenstand,"Alle Beteiligungen","Alle Koordinatoren","Alle Unternehmensgrößen","-2","Alle Organisationstypen",28,"Alle Expertevaluierungsstatus",$B6,"-2",1,"-2","Alle","-2","anzahl_beteiligungen")</f>
        <v>3919</v>
      </c>
      <c r="K6" s="188">
        <f ca="1">IFERROR(_xll.PALO.DATAC("jedoxtest/EU_PM_CUBE02","EUPM_Mittel2_Cube",Datenstand,"Alle Beteiligungen","Alle Koordinatoren","Alle Unternehmensgrößen","-2","Alle Organisationstypen",28,"Alle Expertevaluierungsstatus",$B6,"-2",1,"-2","Alle","-2","anzahl_beteiligungen")/_xll.PALO.DATAC("jedoxtest/EU_PM_CUBE02","EUPM_Mittel2_Cube",Datenstand,"Alle Beteiligungen","Alle Koordinatoren","Alle Unternehmensgrößen","-2","Alle Organisationstypen",28,"Alle Expertevaluierungsstatus",$B6,"-2",-2,"-2","Alle","-2","anzahl_beteiligungen"),"-  ")</f>
        <v>2.8522354276897546E-2</v>
      </c>
      <c r="L6" s="188">
        <f ca="1">IFERROR(H6/D6,"-   ")</f>
        <v>0.18242347961624963</v>
      </c>
      <c r="M6" s="188">
        <f ca="1">IFERROR(I6/E6,"-   ")</f>
        <v>0.18705316951755546</v>
      </c>
      <c r="N6" s="231">
        <f ca="1">IFERROR(J6/F6,"-   ")</f>
        <v>0.18984643704887855</v>
      </c>
      <c r="O6" s="187">
        <f ca="1">_xll.PALO.DATAC("jedoxtest/EU_PM_CUBE02","EUPM_Mittel2_Cube",Datenstand,"Alle Beteiligungen","Alle Koordinatoren","Alle Unternehmensgrößen","-2","Alle Organisationstypen",28,"Alle Expertevaluierungsstatus",$B6,"-2","-2","-2","Alle","-2","anzahl_koordinatoren")</f>
        <v>23372</v>
      </c>
      <c r="P6" s="187">
        <f ca="1">_xll.PALO.DATAC("jedoxtest/EU_PM_CUBE02","EUPM_Mittel2_Cube",Datenstand,"Alle Beteiligungen","Alle Koordinatoren","Alle Unternehmensgrößen","-2","Alle Organisationstypen",28,"Alle Expertevaluierungsstatus",$B6,"-2",1000001,"-2","Alle","-2","anzahl_koordinatoren")</f>
        <v>20138</v>
      </c>
      <c r="Q6" s="190">
        <f ca="1">_xll.PALO.DATAC("jedoxtest/EU_PM_CUBE02","EUPM_Mittel2_Cube",Datenstand,"Alle Beteiligungen","Alle Koordinatoren","Alle Unternehmensgrößen","-2","Alle Organisationstypen",28,"Alle Expertevaluierungsstatus",$B6,"-2",1,"-2","Alle","-2","anzahl_koordinatoren")</f>
        <v>774</v>
      </c>
      <c r="R6" s="188">
        <f ca="1">IFERROR(_xll.PALO.DATAC("jedoxtest/EU_PM_CUBE02","EUPM_Mittel2_Cube",Datenstand,"Alle Beteiligungen","Alle Koordinatoren","Alle Unternehmensgrößen","-2","Alle Organisationstypen",28,"Alle Expertevaluierungsstatus",$B6,"-2",1,"-2","Alle","-2","anzahl_koordinatoren")/_xll.PALO.DATAC("jedoxtest/EU_PM_CUBE02","EUPM_Mittel2_Cube",Datenstand,"Alle Beteiligungen","Alle Koordinatoren","Alle Unternehmensgrößen","-2","Alle Organisationstypen",28,"Alle Expertevaluierungsstatus",$B6,"-2",-2,"-2","Alle","-2","anzahl_koordinatoren"),"-  ")</f>
        <v>3.3116549717610813E-2</v>
      </c>
      <c r="S6" s="225">
        <f ca="1">_xll.PALO.DATAC("jedoxtest/EU_PM_CUBE02","EUPM_Mittel2_Cube",Datenstand,"Alle Beteiligungen","Alle Koordinatoren","Alle Unternehmensgrößen","-2","Alle Organisationstypen",28,"Alle Expertevaluierungsstatus",$B6,"-2","-2","-2","Alle","-2","foerderung")/1000000</f>
        <v>58295.985379557402</v>
      </c>
      <c r="T6" s="225">
        <f ca="1">_xll.PALO.DATAC("jedoxtest/EU_PM_CUBE02","EUPM_Mittel2_Cube",Datenstand,"Alle Beteiligungen","Alle Koordinatoren","Alle Unternehmensgrößen","-2","Alle Organisationstypen",28,"Alle Expertevaluierungsstatus",$B6,"-2",1000001,"-2","Alle","-2","foerderung")/1000000</f>
        <v>51597.038472098</v>
      </c>
      <c r="U6" s="225">
        <f ca="1">_xll.PALO.DATAC("jedoxtest/EU_PM_CUBE02","EUPM_Mittel2_Cube",Datenstand,"Alle Beteiligungen","Alle Koordinatoren","Alle Unternehmensgrößen","-2","Alle Organisationstypen",28,"Alle Expertevaluierungsstatus",$B6,"-2",1,"-2","Alle","-2","foerderung")/1000000</f>
        <v>1856.2015674500101</v>
      </c>
      <c r="V6" s="224">
        <f ca="1">IFERROR(_xll.PALO.DATAC("jedoxtest/EU_PM_CUBE02","EUPM_Mittel2_Cube",Datenstand,"Alle Beteiligungen","Alle Koordinatoren","Alle Unternehmensgrößen","-2","Alle Organisationstypen",28,"Alle Expertevaluierungsstatus",$B6,"-2",1,"-2","Alle","-2","foerderung")/_xll.PALO.DATAC("jedoxtest/EU_PM_CUBE02","EUPM_Mittel2_Cube",Datenstand,"Alle Beteiligungen","Alle Koordinatoren","Alle Unternehmensgrößen","-2","Alle Organisationstypen",28,"Alle Expertevaluierungsstatus",$B6,"-2",-2,"-2","Alle","-2","foerderung"),"-  ")</f>
        <v>3.1840984509731309E-2</v>
      </c>
    </row>
    <row r="7" spans="2:23" ht="15" hidden="1" customHeight="1">
      <c r="B7" t="s">
        <v>139</v>
      </c>
      <c r="C7" s="361" t="str">
        <f ca="1">_xll.PALO.DATA("jedoxtest/EU_PM_CUBE02","#_Programme","Langbezeichnung",$B7)</f>
        <v>EC Treaty</v>
      </c>
      <c r="D7" s="206">
        <f ca="1">_xll.PALO.DATAC("jedoxtest/EU_PM_CUBE02","EUPM_Mittel2_Cube",Datenstand,"Alle Beteiligungen","Alle Koordinatoren","Alle Unternehmensgrößen","-2","Alle Organisationstypen",5,"Alle Expertevaluierungsstatus",$B7,"-2","-2","-2","Alle","-2","anzahl_beteiligungen")</f>
        <v>753198</v>
      </c>
      <c r="E7" s="206">
        <f ca="1">_xll.PALO.DATAC("jedoxtest/EU_PM_CUBE02","EUPM_Mittel2_Cube",Datenstand,"Alle Beteiligungen","Alle Koordinatoren","Alle Unternehmensgrößen","-2","Alle Organisationstypen",5,"Alle Expertevaluierungsstatus",$B7,"-2",1000001,"-2","Alle","-2","anzahl_beteiligungen")</f>
        <v>604256</v>
      </c>
      <c r="F7" s="362">
        <f ca="1">_xll.PALO.DATAC("jedoxtest/EU_PM_CUBE02","EUPM_Mittel2_Cube",Datenstand,"Alle Beteiligungen","Alle Koordinatoren","Alle Unternehmensgrößen","-2","Alle Organisationstypen",5,"Alle Expertevaluierungsstatus",$B7,"-2",1,"-2","Alle","-2","anzahl_beteiligungen")</f>
        <v>20643</v>
      </c>
      <c r="G7" s="325">
        <f ca="1">IFERROR(_xll.PALO.DATAC("jedoxtest/EU_PM_CUBE02","EUPM_Mittel2_Cube",Datenstand,"Alle Beteiligungen","Alle Koordinatoren","Alle Unternehmensgrößen","-2","Alle Organisationstypen",5,"Alle Expertevaluierungsstatus",$B7,"-2",1,"-2","Alle","-2","anzahl_beteiligungen")/_xll.PALO.DATAC("jedoxtest/EU_PM_CUBE02","EUPM_Mittel2_Cube",Datenstand,"Alle Beteiligungen","Alle Koordinatoren","Alle Unternehmensgrößen","-2","Alle Organisationstypen",5,"Alle Expertevaluierungsstatus",$B7,"-2",-2,"-2","Alle","-2","anzahl_beteiligungen"),"-  ")</f>
        <v>2.7407135972214478E-2</v>
      </c>
      <c r="H7" s="206">
        <f ca="1">_xll.PALO.DATAC("jedoxtest/EU_PM_CUBE02","EUPM_Mittel2_Cube",Datenstand,"Alle Beteiligungen","Alle Koordinatoren","Alle Unternehmensgrößen","-2","Alle Organisationstypen",28,"Alle Expertevaluierungsstatus",$B7,"-2","-2","-2","Alle","-2","anzahl_beteiligungen")</f>
        <v>137401</v>
      </c>
      <c r="I7" s="206">
        <f ca="1">_xll.PALO.DATAC("jedoxtest/EU_PM_CUBE02","EUPM_Mittel2_Cube",Datenstand,"Alle Beteiligungen","Alle Koordinatoren","Alle Unternehmensgrößen","-2","Alle Organisationstypen",28,"Alle Expertevaluierungsstatus",$B7,"-2",1000001,"-2","Alle","-2","anzahl_beteiligungen")</f>
        <v>113028</v>
      </c>
      <c r="J7" s="362">
        <f ca="1">_xll.PALO.DATAC("jedoxtest/EU_PM_CUBE02","EUPM_Mittel2_Cube",Datenstand,"Alle Beteiligungen","Alle Koordinatoren","Alle Unternehmensgrößen","-2","Alle Organisationstypen",28,"Alle Expertevaluierungsstatus",$B7,"-2",1,"-2","Alle","-2","anzahl_beteiligungen")</f>
        <v>3919</v>
      </c>
      <c r="K7" s="325">
        <f ca="1">IFERROR(_xll.PALO.DATAC("jedoxtest/EU_PM_CUBE02","EUPM_Mittel2_Cube",Datenstand,"Alle Beteiligungen","Alle Koordinatoren","Alle Unternehmensgrößen","-2","Alle Organisationstypen",28,"Alle Expertevaluierungsstatus",$B7,"-2",1,"-2","Alle","-2","anzahl_beteiligungen")/_xll.PALO.DATAC("jedoxtest/EU_PM_CUBE02","EUPM_Mittel2_Cube",Datenstand,"Alle Beteiligungen","Alle Koordinatoren","Alle Unternehmensgrößen","-2","Alle Organisationstypen",28,"Alle Expertevaluierungsstatus",$B7,"-2",-2,"-2","Alle","-2","anzahl_beteiligungen"),"-  ")</f>
        <v>2.8522354276897546E-2</v>
      </c>
      <c r="L7" s="325">
        <f t="shared" ref="L7:L26" ca="1" si="0">IFERROR(H7/D7,"-   ")</f>
        <v>0.18242347961624963</v>
      </c>
      <c r="M7" s="325">
        <f t="shared" ref="M7:M26" ca="1" si="1">IFERROR(I7/E7,"-   ")</f>
        <v>0.18705316951755546</v>
      </c>
      <c r="N7" s="323">
        <f t="shared" ref="N7:N26" ca="1" si="2">IFERROR(J7/F7,"-   ")</f>
        <v>0.18984643704887855</v>
      </c>
      <c r="O7" s="206">
        <f ca="1">_xll.PALO.DATAC("jedoxtest/EU_PM_CUBE02","EUPM_Mittel2_Cube",Datenstand,"Alle Beteiligungen","Alle Koordinatoren","Alle Unternehmensgrößen","-2","Alle Organisationstypen",28,"Alle Expertevaluierungsstatus",$B7,"-2","-2","-2","Alle","-2","anzahl_koordinatoren")</f>
        <v>23372</v>
      </c>
      <c r="P7" s="206">
        <f ca="1">_xll.PALO.DATAC("jedoxtest/EU_PM_CUBE02","EUPM_Mittel2_Cube",Datenstand,"Alle Beteiligungen","Alle Koordinatoren","Alle Unternehmensgrößen","-2","Alle Organisationstypen",28,"Alle Expertevaluierungsstatus",$B7,"-2",1000001,"-2","Alle","-2","anzahl_koordinatoren")</f>
        <v>20138</v>
      </c>
      <c r="Q7" s="362">
        <f ca="1">_xll.PALO.DATAC("jedoxtest/EU_PM_CUBE02","EUPM_Mittel2_Cube",Datenstand,"Alle Beteiligungen","Alle Koordinatoren","Alle Unternehmensgrößen","-2","Alle Organisationstypen",28,"Alle Expertevaluierungsstatus",$B7,"-2",1,"-2","Alle","-2","anzahl_koordinatoren")</f>
        <v>774</v>
      </c>
      <c r="R7" s="325">
        <f ca="1">IFERROR(_xll.PALO.DATAC("jedoxtest/EU_PM_CUBE02","EUPM_Mittel2_Cube",Datenstand,"Alle Beteiligungen","Alle Koordinatoren","Alle Unternehmensgrößen","-2","Alle Organisationstypen",28,"Alle Expertevaluierungsstatus",$B7,"-2",1,"-2","Alle","-2","anzahl_koordinatoren")/_xll.PALO.DATAC("jedoxtest/EU_PM_CUBE02","EUPM_Mittel2_Cube",Datenstand,"Alle Beteiligungen","Alle Koordinatoren","Alle Unternehmensgrößen","-2","Alle Organisationstypen",28,"Alle Expertevaluierungsstatus",$B7,"-2",-2,"-2","Alle","-2","anzahl_koordinatoren"),"-  ")</f>
        <v>3.3116549717610813E-2</v>
      </c>
      <c r="S7" s="326">
        <f ca="1">_xll.PALO.DATAC("jedoxtest/EU_PM_CUBE02","EUPM_Mittel2_Cube",Datenstand,"Alle Beteiligungen","Alle Koordinatoren","Alle Unternehmensgrößen","-2","Alle Organisationstypen",28,"Alle Expertevaluierungsstatus",$B7,"-2","-2","-2","Alle","-2","foerderung")/1000000</f>
        <v>58295.985379557402</v>
      </c>
      <c r="T7" s="326">
        <f ca="1">_xll.PALO.DATAC("jedoxtest/EU_PM_CUBE02","EUPM_Mittel2_Cube",Datenstand,"Alle Beteiligungen","Alle Koordinatoren","Alle Unternehmensgrößen","-2","Alle Organisationstypen",28,"Alle Expertevaluierungsstatus",$B7,"-2",1000001,"-2","Alle","-2","foerderung")/1000000</f>
        <v>51597.038472098</v>
      </c>
      <c r="U7" s="326">
        <f ca="1">_xll.PALO.DATAC("jedoxtest/EU_PM_CUBE02","EUPM_Mittel2_Cube",Datenstand,"Alle Beteiligungen","Alle Koordinatoren","Alle Unternehmensgrößen","-2","Alle Organisationstypen",28,"Alle Expertevaluierungsstatus",$B7,"-2",1,"-2","Alle","-2","foerderung")/1000000</f>
        <v>1856.2015674500101</v>
      </c>
      <c r="V7" s="224">
        <f ca="1">IFERROR(_xll.PALO.DATAC("jedoxtest/EU_PM_CUBE02","EUPM_Mittel2_Cube",Datenstand,"Alle Beteiligungen","Alle Koordinatoren","Alle Unternehmensgrößen","-2","Alle Organisationstypen",28,"Alle Expertevaluierungsstatus",$B7,"-2",1,"-2","Alle","-2","foerderung")/_xll.PALO.DATAC("jedoxtest/EU_PM_CUBE02","EUPM_Mittel2_Cube",Datenstand,"Alle Beteiligungen","Alle Koordinatoren","Alle Unternehmensgrößen","-2","Alle Organisationstypen",28,"Alle Expertevaluierungsstatus",$B7,"-2",-2,"-2","Alle","-2","foerderung"),"-  ")</f>
        <v>3.1840984509731309E-2</v>
      </c>
    </row>
    <row r="8" spans="2:23" ht="15" customHeight="1">
      <c r="B8" t="s">
        <v>140</v>
      </c>
      <c r="C8" s="361" t="str">
        <f ca="1">_xll.PALO.DATA("jedoxtest/EU_PM_CUBE02","#_Programme","Langbezeichnung",$B8)</f>
        <v>Excellent Science</v>
      </c>
      <c r="D8" s="206">
        <f ca="1">_xll.PALO.DATAC("jedoxtest/EU_PM_CUBE02","EUPM_Mittel2_Cube",Datenstand,"Alle Beteiligungen","Alle Koordinatoren","Alle Unternehmensgrößen","-2","Alle Organisationstypen",5,"Alle Expertevaluierungsstatus",$B8,"-2","-2","-2","Alle","-2","anzahl_beteiligungen")</f>
        <v>240092</v>
      </c>
      <c r="E8" s="206">
        <f ca="1">_xll.PALO.DATAC("jedoxtest/EU_PM_CUBE02","EUPM_Mittel2_Cube",Datenstand,"Alle Beteiligungen","Alle Koordinatoren","Alle Unternehmensgrößen","-2","Alle Organisationstypen",5,"Alle Expertevaluierungsstatus",$B8,"-2",1000001,"-2","Alle","-2","anzahl_beteiligungen")</f>
        <v>181501</v>
      </c>
      <c r="F8" s="362">
        <f ca="1">_xll.PALO.DATAC("jedoxtest/EU_PM_CUBE02","EUPM_Mittel2_Cube",Datenstand,"Alle Beteiligungen","Alle Koordinatoren","Alle Unternehmensgrößen","-2","Alle Organisationstypen",5,"Alle Expertevaluierungsstatus",$B8,"-2",1,"-2","Alle","-2","anzahl_beteiligungen")</f>
        <v>6064</v>
      </c>
      <c r="G8" s="325">
        <f ca="1">IFERROR(_xll.PALO.DATAC("jedoxtest/EU_PM_CUBE02","EUPM_Mittel2_Cube",Datenstand,"Alle Beteiligungen","Alle Koordinatoren","Alle Unternehmensgrößen","-2","Alle Organisationstypen",5,"Alle Expertevaluierungsstatus",$B8,"-2",1,"-2","Alle","-2","anzahl_beteiligungen")/_xll.PALO.DATAC("jedoxtest/EU_PM_CUBE02","EUPM_Mittel2_Cube",Datenstand,"Alle Beteiligungen","Alle Koordinatoren","Alle Unternehmensgrößen","-2","Alle Organisationstypen",5,"Alle Expertevaluierungsstatus",$B8,"-2",-2,"-2","Alle","-2","anzahl_beteiligungen"),"-  ")</f>
        <v>2.5256984822484715E-2</v>
      </c>
      <c r="H8" s="206">
        <f ca="1">_xll.PALO.DATAC("jedoxtest/EU_PM_CUBE02","EUPM_Mittel2_Cube",Datenstand,"Alle Beteiligungen","Alle Koordinatoren","Alle Unternehmensgrößen","-2","Alle Organisationstypen",28,"Alle Expertevaluierungsstatus",$B8,"-2","-2","-2","Alle","-2","anzahl_beteiligungen")</f>
        <v>43966</v>
      </c>
      <c r="I8" s="206">
        <f ca="1">_xll.PALO.DATAC("jedoxtest/EU_PM_CUBE02","EUPM_Mittel2_Cube",Datenstand,"Alle Beteiligungen","Alle Koordinatoren","Alle Unternehmensgrößen","-2","Alle Organisationstypen",28,"Alle Expertevaluierungsstatus",$B8,"-2",1000001,"-2","Alle","-2","anzahl_beteiligungen")</f>
        <v>34088</v>
      </c>
      <c r="J8" s="362">
        <f ca="1">_xll.PALO.DATAC("jedoxtest/EU_PM_CUBE02","EUPM_Mittel2_Cube",Datenstand,"Alle Beteiligungen","Alle Koordinatoren","Alle Unternehmensgrößen","-2","Alle Organisationstypen",28,"Alle Expertevaluierungsstatus",$B8,"-2",1,"-2","Alle","-2","anzahl_beteiligungen")</f>
        <v>1144</v>
      </c>
      <c r="K8" s="325">
        <f ca="1">IFERROR(_xll.PALO.DATAC("jedoxtest/EU_PM_CUBE02","EUPM_Mittel2_Cube",Datenstand,"Alle Beteiligungen","Alle Koordinatoren","Alle Unternehmensgrößen","-2","Alle Organisationstypen",28,"Alle Expertevaluierungsstatus",$B8,"-2",1,"-2","Alle","-2","anzahl_beteiligungen")/_xll.PALO.DATAC("jedoxtest/EU_PM_CUBE02","EUPM_Mittel2_Cube",Datenstand,"Alle Beteiligungen","Alle Koordinatoren","Alle Unternehmensgrößen","-2","Alle Organisationstypen",28,"Alle Expertevaluierungsstatus",$B8,"-2",-2,"-2","Alle","-2","anzahl_beteiligungen"),"-  ")</f>
        <v>2.6020106445890007E-2</v>
      </c>
      <c r="L8" s="325">
        <f t="shared" ca="1" si="0"/>
        <v>0.18312147010312713</v>
      </c>
      <c r="M8" s="325">
        <f t="shared" ca="1" si="1"/>
        <v>0.18781163740144682</v>
      </c>
      <c r="N8" s="323">
        <f t="shared" ca="1" si="2"/>
        <v>0.18865435356200527</v>
      </c>
      <c r="O8" s="206">
        <f ca="1">_xll.PALO.DATAC("jedoxtest/EU_PM_CUBE02","EUPM_Mittel2_Cube",Datenstand,"Alle Beteiligungen","Alle Koordinatoren","Alle Unternehmensgrößen","-2","Alle Organisationstypen",28,"Alle Expertevaluierungsstatus",$B8,"-2","-2","-2","Alle","-2","anzahl_koordinatoren")</f>
        <v>14660</v>
      </c>
      <c r="P8" s="206">
        <f ca="1">_xll.PALO.DATAC("jedoxtest/EU_PM_CUBE02","EUPM_Mittel2_Cube",Datenstand,"Alle Beteiligungen","Alle Koordinatoren","Alle Unternehmensgrößen","-2","Alle Organisationstypen",28,"Alle Expertevaluierungsstatus",$B8,"-2",1000001,"-2","Alle","-2","anzahl_koordinatoren")</f>
        <v>12455</v>
      </c>
      <c r="Q8" s="362">
        <f ca="1">_xll.PALO.DATAC("jedoxtest/EU_PM_CUBE02","EUPM_Mittel2_Cube",Datenstand,"Alle Beteiligungen","Alle Koordinatoren","Alle Unternehmensgrößen","-2","Alle Organisationstypen",28,"Alle Expertevaluierungsstatus",$B8,"-2",1,"-2","Alle","-2","anzahl_koordinatoren")</f>
        <v>509</v>
      </c>
      <c r="R8" s="325">
        <f ca="1">IFERROR(_xll.PALO.DATAC("jedoxtest/EU_PM_CUBE02","EUPM_Mittel2_Cube",Datenstand,"Alle Beteiligungen","Alle Koordinatoren","Alle Unternehmensgrößen","-2","Alle Organisationstypen",28,"Alle Expertevaluierungsstatus",$B8,"-2",1,"-2","Alle","-2","anzahl_koordinatoren")/_xll.PALO.DATAC("jedoxtest/EU_PM_CUBE02","EUPM_Mittel2_Cube",Datenstand,"Alle Beteiligungen","Alle Koordinatoren","Alle Unternehmensgrößen","-2","Alle Organisationstypen",28,"Alle Expertevaluierungsstatus",$B8,"-2",-2,"-2","Alle","-2","anzahl_koordinatoren"),"-  ")</f>
        <v>3.4720327421555251E-2</v>
      </c>
      <c r="S8" s="326">
        <f ca="1">_xll.PALO.DATAC("jedoxtest/EU_PM_CUBE02","EUPM_Mittel2_Cube",Datenstand,"Alle Beteiligungen","Alle Koordinatoren","Alle Unternehmensgrößen","-2","Alle Organisationstypen",28,"Alle Expertevaluierungsstatus",$B8,"-2","-2","-2","Alle","-2","foerderung")/1000000</f>
        <v>16908.987494669902</v>
      </c>
      <c r="T8" s="326">
        <f ca="1">_xll.PALO.DATAC("jedoxtest/EU_PM_CUBE02","EUPM_Mittel2_Cube",Datenstand,"Alle Beteiligungen","Alle Koordinatoren","Alle Unternehmensgrößen","-2","Alle Organisationstypen",28,"Alle Expertevaluierungsstatus",$B8,"-2",1000001,"-2","Alle","-2","foerderung")/1000000</f>
        <v>14302.1498219799</v>
      </c>
      <c r="U8" s="326">
        <f ca="1">_xll.PALO.DATAC("jedoxtest/EU_PM_CUBE02","EUPM_Mittel2_Cube",Datenstand,"Alle Beteiligungen","Alle Koordinatoren","Alle Unternehmensgrößen","-2","Alle Organisationstypen",28,"Alle Expertevaluierungsstatus",$B8,"-2",1,"-2","Alle","-2","foerderung")/1000000</f>
        <v>609.70869416000107</v>
      </c>
      <c r="V8" s="224">
        <f ca="1">IFERROR(_xll.PALO.DATAC("jedoxtest/EU_PM_CUBE02","EUPM_Mittel2_Cube",Datenstand,"Alle Beteiligungen","Alle Koordinatoren","Alle Unternehmensgrößen","-2","Alle Organisationstypen",28,"Alle Expertevaluierungsstatus",$B8,"-2",1,"-2","Alle","-2","foerderung")/_xll.PALO.DATAC("jedoxtest/EU_PM_CUBE02","EUPM_Mittel2_Cube",Datenstand,"Alle Beteiligungen","Alle Koordinatoren","Alle Unternehmensgrößen","-2","Alle Organisationstypen",28,"Alle Expertevaluierungsstatus",$B8,"-2",-2,"-2","Alle","-2","foerderung"),"-  ")</f>
        <v>3.6058261581433847E-2</v>
      </c>
    </row>
    <row r="9" spans="2:23" ht="15" customHeight="1">
      <c r="B9" t="s">
        <v>141</v>
      </c>
      <c r="C9" s="473" t="str">
        <f ca="1">_xll.PALO.DATA("jedoxtest/EU_PM_CUBE02","#_Programme","Langbezeichnung",$B9)</f>
        <v>European Research Council (ERC)</v>
      </c>
      <c r="D9" s="226">
        <f ca="1">_xll.PALO.DATAC("jedoxtest/EU_PM_CUBE02","EUPM_Mittel2_Cube",Datenstand,"Alle Beteiligungen","Alle Koordinatoren","Alle Unternehmensgrößen","-2","Alle Organisationstypen",5,"Alle Expertevaluierungsstatus",$B9,"-2","-2","-2","Alle","-2","anzahl_beteiligungen")</f>
        <v>43979</v>
      </c>
      <c r="E9" s="226">
        <f ca="1">_xll.PALO.DATAC("jedoxtest/EU_PM_CUBE02","EUPM_Mittel2_Cube",Datenstand,"Alle Beteiligungen","Alle Koordinatoren","Alle Unternehmensgrößen","-2","Alle Organisationstypen",5,"Alle Expertevaluierungsstatus",$B9,"-2",1000001,"-2","Alle","-2","anzahl_beteiligungen")</f>
        <v>33794</v>
      </c>
      <c r="F9" s="230">
        <f ca="1">_xll.PALO.DATAC("jedoxtest/EU_PM_CUBE02","EUPM_Mittel2_Cube",Datenstand,"Alle Beteiligungen","Alle Koordinatoren","Alle Unternehmensgrößen","-2","Alle Organisationstypen",5,"Alle Expertevaluierungsstatus",$B9,"-2",1,"-2","Alle","-2","anzahl_beteiligungen")</f>
        <v>1316</v>
      </c>
      <c r="G9" s="227">
        <f ca="1">IFERROR(_xll.PALO.DATAC("jedoxtest/EU_PM_CUBE02","EUPM_Mittel2_Cube",Datenstand,"Alle Beteiligungen","Alle Koordinatoren","Alle Unternehmensgrößen","-2","Alle Organisationstypen",5,"Alle Expertevaluierungsstatus",$B9,"-2",1,"-2","Alle","-2","anzahl_beteiligungen")/_xll.PALO.DATAC("jedoxtest/EU_PM_CUBE02","EUPM_Mittel2_Cube",Datenstand,"Alle Beteiligungen","Alle Koordinatoren","Alle Unternehmensgrößen","-2","Alle Organisationstypen",5,"Alle Expertevaluierungsstatus",$B9,"-2",-2,"-2","Alle","-2","anzahl_beteiligungen"),"-  ")</f>
        <v>2.9923372518702109E-2</v>
      </c>
      <c r="H9" s="226">
        <f ca="1">_xll.PALO.DATAC("jedoxtest/EU_PM_CUBE02","EUPM_Mittel2_Cube",Datenstand,"Alle Beteiligungen","Alle Koordinatoren","Alle Unternehmensgrößen","-2","Alle Organisationstypen",28,"Alle Expertevaluierungsstatus",$B9,"-2","-2","-2","Alle","-2","anzahl_beteiligungen")</f>
        <v>7641</v>
      </c>
      <c r="I9" s="226">
        <f ca="1">_xll.PALO.DATAC("jedoxtest/EU_PM_CUBE02","EUPM_Mittel2_Cube",Datenstand,"Alle Beteiligungen","Alle Koordinatoren","Alle Unternehmensgrößen","-2","Alle Organisationstypen",28,"Alle Expertevaluierungsstatus",$B9,"-2",1000001,"-2","Alle","-2","anzahl_beteiligungen")</f>
        <v>6353</v>
      </c>
      <c r="J9" s="230">
        <f ca="1">_xll.PALO.DATAC("jedoxtest/EU_PM_CUBE02","EUPM_Mittel2_Cube",Datenstand,"Alle Beteiligungen","Alle Koordinatoren","Alle Unternehmensgrößen","-2","Alle Organisationstypen",28,"Alle Expertevaluierungsstatus",$B9,"-2",1,"-2","Alle","-2","anzahl_beteiligungen")</f>
        <v>292</v>
      </c>
      <c r="K9" s="227">
        <f ca="1">IFERROR(_xll.PALO.DATAC("jedoxtest/EU_PM_CUBE02","EUPM_Mittel2_Cube",Datenstand,"Alle Beteiligungen","Alle Koordinatoren","Alle Unternehmensgrößen","-2","Alle Organisationstypen",28,"Alle Expertevaluierungsstatus",$B9,"-2",1,"-2","Alle","-2","anzahl_beteiligungen")/_xll.PALO.DATAC("jedoxtest/EU_PM_CUBE02","EUPM_Mittel2_Cube",Datenstand,"Alle Beteiligungen","Alle Koordinatoren","Alle Unternehmensgrößen","-2","Alle Organisationstypen",28,"Alle Expertevaluierungsstatus",$B9,"-2",-2,"-2","Alle","-2","anzahl_beteiligungen"),"-  ")</f>
        <v>3.821489333856825E-2</v>
      </c>
      <c r="L9" s="227">
        <f t="shared" ca="1" si="0"/>
        <v>0.17374201323358876</v>
      </c>
      <c r="M9" s="227">
        <f t="shared" ca="1" si="1"/>
        <v>0.18799195123394685</v>
      </c>
      <c r="N9" s="232">
        <f t="shared" ca="1" si="2"/>
        <v>0.22188449848024316</v>
      </c>
      <c r="O9" s="226">
        <f ca="1">_xll.PALO.DATAC("jedoxtest/EU_PM_CUBE02","EUPM_Mittel2_Cube",Datenstand,"Alle Beteiligungen","Alle Koordinatoren","Alle Unternehmensgrößen","-2","Alle Organisationstypen",28,"Alle Expertevaluierungsstatus",$B9,"-2","-2","-2","Alle","-2","anzahl_koordinatoren")</f>
        <v>6011</v>
      </c>
      <c r="P9" s="226">
        <f ca="1">_xll.PALO.DATAC("jedoxtest/EU_PM_CUBE02","EUPM_Mittel2_Cube",Datenstand,"Alle Beteiligungen","Alle Koordinatoren","Alle Unternehmensgrößen","-2","Alle Organisationstypen",28,"Alle Expertevaluierungsstatus",$B9,"-2",1000001,"-2","Alle","-2","anzahl_koordinatoren")</f>
        <v>5070</v>
      </c>
      <c r="Q9" s="230">
        <f ca="1">_xll.PALO.DATAC("jedoxtest/EU_PM_CUBE02","EUPM_Mittel2_Cube",Datenstand,"Alle Beteiligungen","Alle Koordinatoren","Alle Unternehmensgrößen","-2","Alle Organisationstypen",28,"Alle Expertevaluierungsstatus",$B9,"-2",1,"-2","Alle","-2","anzahl_koordinatoren")</f>
        <v>250</v>
      </c>
      <c r="R9" s="227">
        <f ca="1">IFERROR(_xll.PALO.DATAC("jedoxtest/EU_PM_CUBE02","EUPM_Mittel2_Cube",Datenstand,"Alle Beteiligungen","Alle Koordinatoren","Alle Unternehmensgrößen","-2","Alle Organisationstypen",28,"Alle Expertevaluierungsstatus",$B9,"-2",1,"-2","Alle","-2","anzahl_koordinatoren")/_xll.PALO.DATAC("jedoxtest/EU_PM_CUBE02","EUPM_Mittel2_Cube",Datenstand,"Alle Beteiligungen","Alle Koordinatoren","Alle Unternehmensgrößen","-2","Alle Organisationstypen",28,"Alle Expertevaluierungsstatus",$B9,"-2",-2,"-2","Alle","-2","anzahl_koordinatoren"),"-  ")</f>
        <v>4.159041756779238E-2</v>
      </c>
      <c r="S9" s="228">
        <f ca="1">_xll.PALO.DATAC("jedoxtest/EU_PM_CUBE02","EUPM_Mittel2_Cube",Datenstand,"Alle Beteiligungen","Alle Koordinatoren","Alle Unternehmensgrößen","-2","Alle Organisationstypen",28,"Alle Expertevaluierungsstatus",$B9,"-2","-2","-2","Alle","-2","foerderung")/1000000</f>
        <v>10799.60712303</v>
      </c>
      <c r="T9" s="228">
        <f ca="1">_xll.PALO.DATAC("jedoxtest/EU_PM_CUBE02","EUPM_Mittel2_Cube",Datenstand,"Alle Beteiligungen","Alle Koordinatoren","Alle Unternehmensgrößen","-2","Alle Organisationstypen",28,"Alle Expertevaluierungsstatus",$B9,"-2",1000001,"-2","Alle","-2","foerderung")/1000000</f>
        <v>8954.1133909</v>
      </c>
      <c r="U9" s="228">
        <f ca="1">_xll.PALO.DATAC("jedoxtest/EU_PM_CUBE02","EUPM_Mittel2_Cube",Datenstand,"Alle Beteiligungen","Alle Koordinatoren","Alle Unternehmensgrößen","-2","Alle Organisationstypen",28,"Alle Expertevaluierungsstatus",$B9,"-2",1,"-2","Alle","-2","foerderung")/1000000</f>
        <v>447.84801045999995</v>
      </c>
      <c r="V9" s="224">
        <f ca="1">IFERROR(_xll.PALO.DATAC("jedoxtest/EU_PM_CUBE02","EUPM_Mittel2_Cube",Datenstand,"Alle Beteiligungen","Alle Koordinatoren","Alle Unternehmensgrößen","-2","Alle Organisationstypen",28,"Alle Expertevaluierungsstatus",$B9,"-2",1,"-2","Alle","-2","foerderung")/_xll.PALO.DATAC("jedoxtest/EU_PM_CUBE02","EUPM_Mittel2_Cube",Datenstand,"Alle Beteiligungen","Alle Koordinatoren","Alle Unternehmensgrößen","-2","Alle Organisationstypen",28,"Alle Expertevaluierungsstatus",$B9,"-2",-2,"-2","Alle","-2","foerderung"),"-  ")</f>
        <v>4.1468916911335675E-2</v>
      </c>
    </row>
    <row r="10" spans="2:23" ht="15" customHeight="1">
      <c r="B10" t="s">
        <v>142</v>
      </c>
      <c r="C10" s="473" t="str">
        <f ca="1">_xll.PALO.DATA("jedoxtest/EU_PM_CUBE02","#_Programme","Langbezeichnung",$B10)</f>
        <v>Marie Skłodowska-Curie Actions (MSCA)</v>
      </c>
      <c r="D10" s="226">
        <f ca="1">_xll.PALO.DATAC("jedoxtest/EU_PM_CUBE02","EUPM_Mittel2_Cube",Datenstand,"Alle Beteiligungen","Alle Koordinatoren","Alle Unternehmensgrößen","-2","Alle Organisationstypen",5,"Alle Expertevaluierungsstatus",$B10,"-2","-2","-2","Alle","-2","anzahl_beteiligungen")</f>
        <v>185647</v>
      </c>
      <c r="E10" s="226">
        <f ca="1">_xll.PALO.DATAC("jedoxtest/EU_PM_CUBE02","EUPM_Mittel2_Cube",Datenstand,"Alle Beteiligungen","Alle Koordinatoren","Alle Unternehmensgrößen","-2","Alle Organisationstypen",5,"Alle Expertevaluierungsstatus",$B10,"-2",1000001,"-2","Alle","-2","anzahl_beteiligungen")</f>
        <v>139267</v>
      </c>
      <c r="F10" s="230">
        <f ca="1">_xll.PALO.DATAC("jedoxtest/EU_PM_CUBE02","EUPM_Mittel2_Cube",Datenstand,"Alle Beteiligungen","Alle Koordinatoren","Alle Unternehmensgrößen","-2","Alle Organisationstypen",5,"Alle Expertevaluierungsstatus",$B10,"-2",1,"-2","Alle","-2","anzahl_beteiligungen")</f>
        <v>4504</v>
      </c>
      <c r="G10" s="227">
        <f ca="1">IFERROR(_xll.PALO.DATAC("jedoxtest/EU_PM_CUBE02","EUPM_Mittel2_Cube",Datenstand,"Alle Beteiligungen","Alle Koordinatoren","Alle Unternehmensgrößen","-2","Alle Organisationstypen",5,"Alle Expertevaluierungsstatus",$B10,"-2",1,"-2","Alle","-2","anzahl_beteiligungen")/_xll.PALO.DATAC("jedoxtest/EU_PM_CUBE02","EUPM_Mittel2_Cube",Datenstand,"Alle Beteiligungen","Alle Koordinatoren","Alle Unternehmensgrößen","-2","Alle Organisationstypen",5,"Alle Expertevaluierungsstatus",$B10,"-2",-2,"-2","Alle","-2","anzahl_beteiligungen"),"-  ")</f>
        <v>2.4261097674619037E-2</v>
      </c>
      <c r="H10" s="226">
        <f ca="1">_xll.PALO.DATAC("jedoxtest/EU_PM_CUBE02","EUPM_Mittel2_Cube",Datenstand,"Alle Beteiligungen","Alle Koordinatoren","Alle Unternehmensgrößen","-2","Alle Organisationstypen",28,"Alle Expertevaluierungsstatus",$B10,"-2","-2","-2","Alle","-2","anzahl_beteiligungen")</f>
        <v>30861</v>
      </c>
      <c r="I10" s="226">
        <f ca="1">_xll.PALO.DATAC("jedoxtest/EU_PM_CUBE02","EUPM_Mittel2_Cube",Datenstand,"Alle Beteiligungen","Alle Koordinatoren","Alle Unternehmensgrößen","-2","Alle Organisationstypen",28,"Alle Expertevaluierungsstatus",$B10,"-2",1000001,"-2","Alle","-2","anzahl_beteiligungen")</f>
        <v>23274</v>
      </c>
      <c r="J10" s="230">
        <f ca="1">_xll.PALO.DATAC("jedoxtest/EU_PM_CUBE02","EUPM_Mittel2_Cube",Datenstand,"Alle Beteiligungen","Alle Koordinatoren","Alle Unternehmensgrößen","-2","Alle Organisationstypen",28,"Alle Expertevaluierungsstatus",$B10,"-2",1,"-2","Alle","-2","anzahl_beteiligungen")</f>
        <v>729</v>
      </c>
      <c r="K10" s="227">
        <f ca="1">IFERROR(_xll.PALO.DATAC("jedoxtest/EU_PM_CUBE02","EUPM_Mittel2_Cube",Datenstand,"Alle Beteiligungen","Alle Koordinatoren","Alle Unternehmensgrößen","-2","Alle Organisationstypen",28,"Alle Expertevaluierungsstatus",$B10,"-2",1,"-2","Alle","-2","anzahl_beteiligungen")/_xll.PALO.DATAC("jedoxtest/EU_PM_CUBE02","EUPM_Mittel2_Cube",Datenstand,"Alle Beteiligungen","Alle Koordinatoren","Alle Unternehmensgrößen","-2","Alle Organisationstypen",28,"Alle Expertevaluierungsstatus",$B10,"-2",-2,"-2","Alle","-2","anzahl_beteiligungen"),"-  ")</f>
        <v>2.3622047244094488E-2</v>
      </c>
      <c r="L10" s="227">
        <f t="shared" ca="1" si="0"/>
        <v>0.16623484354716209</v>
      </c>
      <c r="M10" s="227">
        <f t="shared" ca="1" si="1"/>
        <v>0.16711783839674868</v>
      </c>
      <c r="N10" s="232">
        <f t="shared" ca="1" si="2"/>
        <v>0.16185612788632328</v>
      </c>
      <c r="O10" s="226">
        <f ca="1">_xll.PALO.DATAC("jedoxtest/EU_PM_CUBE02","EUPM_Mittel2_Cube",Datenstand,"Alle Beteiligungen","Alle Koordinatoren","Alle Unternehmensgrößen","-2","Alle Organisationstypen",28,"Alle Expertevaluierungsstatus",$B10,"-2","-2","-2","Alle","-2","anzahl_koordinatoren")</f>
        <v>8397</v>
      </c>
      <c r="P10" s="226">
        <f ca="1">_xll.PALO.DATAC("jedoxtest/EU_PM_CUBE02","EUPM_Mittel2_Cube",Datenstand,"Alle Beteiligungen","Alle Koordinatoren","Alle Unternehmensgrößen","-2","Alle Organisationstypen",28,"Alle Expertevaluierungsstatus",$B10,"-2",1000001,"-2","Alle","-2","anzahl_koordinatoren")</f>
        <v>7157</v>
      </c>
      <c r="Q10" s="230">
        <f ca="1">_xll.PALO.DATAC("jedoxtest/EU_PM_CUBE02","EUPM_Mittel2_Cube",Datenstand,"Alle Beteiligungen","Alle Koordinatoren","Alle Unternehmensgrößen","-2","Alle Organisationstypen",28,"Alle Expertevaluierungsstatus",$B10,"-2",1,"-2","Alle","-2","anzahl_koordinatoren")</f>
        <v>253</v>
      </c>
      <c r="R10" s="227">
        <f ca="1">IFERROR(_xll.PALO.DATAC("jedoxtest/EU_PM_CUBE02","EUPM_Mittel2_Cube",Datenstand,"Alle Beteiligungen","Alle Koordinatoren","Alle Unternehmensgrößen","-2","Alle Organisationstypen",28,"Alle Expertevaluierungsstatus",$B10,"-2",1,"-2","Alle","-2","anzahl_koordinatoren")/_xll.PALO.DATAC("jedoxtest/EU_PM_CUBE02","EUPM_Mittel2_Cube",Datenstand,"Alle Beteiligungen","Alle Koordinatoren","Alle Unternehmensgrößen","-2","Alle Organisationstypen",28,"Alle Expertevaluierungsstatus",$B10,"-2",-2,"-2","Alle","-2","anzahl_koordinatoren"),"-  ")</f>
        <v>3.0129808264856495E-2</v>
      </c>
      <c r="S10" s="228">
        <f ca="1">_xll.PALO.DATAC("jedoxtest/EU_PM_CUBE02","EUPM_Mittel2_Cube",Datenstand,"Alle Beteiligungen","Alle Koordinatoren","Alle Unternehmensgrößen","-2","Alle Organisationstypen",28,"Alle Expertevaluierungsstatus",$B10,"-2","-2","-2","Alle","-2","foerderung")/1000000</f>
        <v>4478.54756705</v>
      </c>
      <c r="T10" s="228">
        <f ca="1">_xll.PALO.DATAC("jedoxtest/EU_PM_CUBE02","EUPM_Mittel2_Cube",Datenstand,"Alle Beteiligungen","Alle Koordinatoren","Alle Unternehmensgrößen","-2","Alle Organisationstypen",28,"Alle Expertevaluierungsstatus",$B10,"-2",1000001,"-2","Alle","-2","foerderung")/1000000</f>
        <v>3921.8029459499899</v>
      </c>
      <c r="U10" s="228">
        <f ca="1">_xll.PALO.DATAC("jedoxtest/EU_PM_CUBE02","EUPM_Mittel2_Cube",Datenstand,"Alle Beteiligungen","Alle Koordinatoren","Alle Unternehmensgrößen","-2","Alle Organisationstypen",28,"Alle Expertevaluierungsstatus",$B10,"-2",1,"-2","Alle","-2","foerderung")/1000000</f>
        <v>126.06924600000001</v>
      </c>
      <c r="V10" s="224">
        <f ca="1">IFERROR(_xll.PALO.DATAC("jedoxtest/EU_PM_CUBE02","EUPM_Mittel2_Cube",Datenstand,"Alle Beteiligungen","Alle Koordinatoren","Alle Unternehmensgrößen","-2","Alle Organisationstypen",28,"Alle Expertevaluierungsstatus",$B10,"-2",1,"-2","Alle","-2","foerderung")/_xll.PALO.DATAC("jedoxtest/EU_PM_CUBE02","EUPM_Mittel2_Cube",Datenstand,"Alle Beteiligungen","Alle Koordinatoren","Alle Unternehmensgrößen","-2","Alle Organisationstypen",28,"Alle Expertevaluierungsstatus",$B10,"-2",-2,"-2","Alle","-2","foerderung"),"-  ")</f>
        <v>2.8149582897707453E-2</v>
      </c>
    </row>
    <row r="11" spans="2:23" ht="15" customHeight="1">
      <c r="B11" t="s">
        <v>143</v>
      </c>
      <c r="C11" s="473" t="str">
        <f ca="1">_xll.PALO.DATA("jedoxtest/EU_PM_CUBE02","#_Programme","Langbezeichnung",$B11)</f>
        <v>Research infrastructures</v>
      </c>
      <c r="D11" s="226">
        <f ca="1">_xll.PALO.DATAC("jedoxtest/EU_PM_CUBE02","EUPM_Mittel2_Cube",Datenstand,"Alle Beteiligungen","Alle Koordinatoren","Alle Unternehmensgrößen","-2","Alle Organisationstypen",5,"Alle Expertevaluierungsstatus",$B11,"-2","-2","-2","Alle","-2","anzahl_beteiligungen")</f>
        <v>10466</v>
      </c>
      <c r="E11" s="226">
        <f ca="1">_xll.PALO.DATAC("jedoxtest/EU_PM_CUBE02","EUPM_Mittel2_Cube",Datenstand,"Alle Beteiligungen","Alle Koordinatoren","Alle Unternehmensgrößen","-2","Alle Organisationstypen",5,"Alle Expertevaluierungsstatus",$B11,"-2",1000001,"-2","Alle","-2","anzahl_beteiligungen")</f>
        <v>8440</v>
      </c>
      <c r="F11" s="230">
        <f ca="1">_xll.PALO.DATAC("jedoxtest/EU_PM_CUBE02","EUPM_Mittel2_Cube",Datenstand,"Alle Beteiligungen","Alle Koordinatoren","Alle Unternehmensgrößen","-2","Alle Organisationstypen",5,"Alle Expertevaluierungsstatus",$B11,"-2",1,"-2","Alle","-2","anzahl_beteiligungen")</f>
        <v>244</v>
      </c>
      <c r="G11" s="227">
        <f ca="1">IFERROR(_xll.PALO.DATAC("jedoxtest/EU_PM_CUBE02","EUPM_Mittel2_Cube",Datenstand,"Alle Beteiligungen","Alle Koordinatoren","Alle Unternehmensgrößen","-2","Alle Organisationstypen",5,"Alle Expertevaluierungsstatus",$B11,"-2",1,"-2","Alle","-2","anzahl_beteiligungen")/_xll.PALO.DATAC("jedoxtest/EU_PM_CUBE02","EUPM_Mittel2_Cube",Datenstand,"Alle Beteiligungen","Alle Koordinatoren","Alle Unternehmensgrößen","-2","Alle Organisationstypen",5,"Alle Expertevaluierungsstatus",$B11,"-2",-2,"-2","Alle","-2","anzahl_beteiligungen"),"-  ")</f>
        <v>2.3313586852665776E-2</v>
      </c>
      <c r="H11" s="226">
        <f ca="1">_xll.PALO.DATAC("jedoxtest/EU_PM_CUBE02","EUPM_Mittel2_Cube",Datenstand,"Alle Beteiligungen","Alle Koordinatoren","Alle Unternehmensgrößen","-2","Alle Organisationstypen",28,"Alle Expertevaluierungsstatus",$B11,"-2","-2","-2","Alle","-2","anzahl_beteiligungen")</f>
        <v>5464</v>
      </c>
      <c r="I11" s="226">
        <f ca="1">_xll.PALO.DATAC("jedoxtest/EU_PM_CUBE02","EUPM_Mittel2_Cube",Datenstand,"Alle Beteiligungen","Alle Koordinatoren","Alle Unternehmensgrößen","-2","Alle Organisationstypen",28,"Alle Expertevaluierungsstatus",$B11,"-2",1000001,"-2","Alle","-2","anzahl_beteiligungen")</f>
        <v>4461</v>
      </c>
      <c r="J11" s="230">
        <f ca="1">_xll.PALO.DATAC("jedoxtest/EU_PM_CUBE02","EUPM_Mittel2_Cube",Datenstand,"Alle Beteiligungen","Alle Koordinatoren","Alle Unternehmensgrößen","-2","Alle Organisationstypen",28,"Alle Expertevaluierungsstatus",$B11,"-2",1,"-2","Alle","-2","anzahl_beteiligungen")</f>
        <v>123</v>
      </c>
      <c r="K11" s="227">
        <f ca="1">IFERROR(_xll.PALO.DATAC("jedoxtest/EU_PM_CUBE02","EUPM_Mittel2_Cube",Datenstand,"Alle Beteiligungen","Alle Koordinatoren","Alle Unternehmensgrößen","-2","Alle Organisationstypen",28,"Alle Expertevaluierungsstatus",$B11,"-2",1,"-2","Alle","-2","anzahl_beteiligungen")/_xll.PALO.DATAC("jedoxtest/EU_PM_CUBE02","EUPM_Mittel2_Cube",Datenstand,"Alle Beteiligungen","Alle Koordinatoren","Alle Unternehmensgrößen","-2","Alle Organisationstypen",28,"Alle Expertevaluierungsstatus",$B11,"-2",-2,"-2","Alle","-2","anzahl_beteiligungen"),"-  ")</f>
        <v>2.2510980966325037E-2</v>
      </c>
      <c r="L11" s="227">
        <f t="shared" ca="1" si="0"/>
        <v>0.52207146952035166</v>
      </c>
      <c r="M11" s="227">
        <f t="shared" ca="1" si="1"/>
        <v>0.52855450236966828</v>
      </c>
      <c r="N11" s="232">
        <f t="shared" ca="1" si="2"/>
        <v>0.50409836065573765</v>
      </c>
      <c r="O11" s="226">
        <f ca="1">_xll.PALO.DATAC("jedoxtest/EU_PM_CUBE02","EUPM_Mittel2_Cube",Datenstand,"Alle Beteiligungen","Alle Koordinatoren","Alle Unternehmensgrößen","-2","Alle Organisationstypen",28,"Alle Expertevaluierungsstatus",$B11,"-2","-2","-2","Alle","-2","anzahl_koordinatoren")</f>
        <v>252</v>
      </c>
      <c r="P11" s="226">
        <f ca="1">_xll.PALO.DATAC("jedoxtest/EU_PM_CUBE02","EUPM_Mittel2_Cube",Datenstand,"Alle Beteiligungen","Alle Koordinatoren","Alle Unternehmensgrößen","-2","Alle Organisationstypen",28,"Alle Expertevaluierungsstatus",$B11,"-2",1000001,"-2","Alle","-2","anzahl_koordinatoren")</f>
        <v>228</v>
      </c>
      <c r="Q11" s="230">
        <f ca="1">_xll.PALO.DATAC("jedoxtest/EU_PM_CUBE02","EUPM_Mittel2_Cube",Datenstand,"Alle Beteiligungen","Alle Koordinatoren","Alle Unternehmensgrößen","-2","Alle Organisationstypen",28,"Alle Expertevaluierungsstatus",$B11,"-2",1,"-2","Alle","-2","anzahl_koordinatoren")</f>
        <v>6</v>
      </c>
      <c r="R11" s="227">
        <f ca="1">IFERROR(_xll.PALO.DATAC("jedoxtest/EU_PM_CUBE02","EUPM_Mittel2_Cube",Datenstand,"Alle Beteiligungen","Alle Koordinatoren","Alle Unternehmensgrößen","-2","Alle Organisationstypen",28,"Alle Expertevaluierungsstatus",$B11,"-2",1,"-2","Alle","-2","anzahl_koordinatoren")/_xll.PALO.DATAC("jedoxtest/EU_PM_CUBE02","EUPM_Mittel2_Cube",Datenstand,"Alle Beteiligungen","Alle Koordinatoren","Alle Unternehmensgrößen","-2","Alle Organisationstypen",28,"Alle Expertevaluierungsstatus",$B11,"-2",-2,"-2","Alle","-2","anzahl_koordinatoren"),"-  ")</f>
        <v>2.3809523809523808E-2</v>
      </c>
      <c r="S11" s="228">
        <f ca="1">_xll.PALO.DATAC("jedoxtest/EU_PM_CUBE02","EUPM_Mittel2_Cube",Datenstand,"Alle Beteiligungen","Alle Koordinatoren","Alle Unternehmensgrößen","-2","Alle Organisationstypen",28,"Alle Expertevaluierungsstatus",$B11,"-2","-2","-2","Alle","-2","foerderung")/1000000</f>
        <v>1630.83280459</v>
      </c>
      <c r="T11" s="228">
        <f ca="1">_xll.PALO.DATAC("jedoxtest/EU_PM_CUBE02","EUPM_Mittel2_Cube",Datenstand,"Alle Beteiligungen","Alle Koordinatoren","Alle Unternehmensgrößen","-2","Alle Organisationstypen",28,"Alle Expertevaluierungsstatus",$B11,"-2",1000001,"-2","Alle","-2","foerderung")/1000000</f>
        <v>1426.2334851300002</v>
      </c>
      <c r="U11" s="228">
        <f ca="1">_xll.PALO.DATAC("jedoxtest/EU_PM_CUBE02","EUPM_Mittel2_Cube",Datenstand,"Alle Beteiligungen","Alle Koordinatoren","Alle Unternehmensgrößen","-2","Alle Organisationstypen",28,"Alle Expertevaluierungsstatus",$B11,"-2",1,"-2","Alle","-2","foerderung")/1000000</f>
        <v>35.791437700000003</v>
      </c>
      <c r="V11" s="224">
        <f ca="1">IFERROR(_xll.PALO.DATAC("jedoxtest/EU_PM_CUBE02","EUPM_Mittel2_Cube",Datenstand,"Alle Beteiligungen","Alle Koordinatoren","Alle Unternehmensgrößen","-2","Alle Organisationstypen",28,"Alle Expertevaluierungsstatus",$B11,"-2",1,"-2","Alle","-2","foerderung")/_xll.PALO.DATAC("jedoxtest/EU_PM_CUBE02","EUPM_Mittel2_Cube",Datenstand,"Alle Beteiligungen","Alle Koordinatoren","Alle Unternehmensgrößen","-2","Alle Organisationstypen",28,"Alle Expertevaluierungsstatus",$B11,"-2",-2,"-2","Alle","-2","foerderung"),"-  ")</f>
        <v>2.1946724151773584E-2</v>
      </c>
    </row>
    <row r="12" spans="2:23" ht="15" customHeight="1">
      <c r="B12" t="s">
        <v>144</v>
      </c>
      <c r="C12" s="361" t="str">
        <f ca="1">_xll.PALO.DATA("jedoxtest/EU_PM_CUBE02","#_Programme","Langbezeichnung",$B12)</f>
        <v>Global Challenges and European Industrial Competitiveness</v>
      </c>
      <c r="D12" s="206">
        <f ca="1">_xll.PALO.DATAC("jedoxtest/EU_PM_CUBE02","EUPM_Mittel2_Cube",Datenstand,"Alle Beteiligungen","Alle Koordinatoren","Alle Unternehmensgrößen","-2","Alle Organisationstypen",5,"Alle Expertevaluierungsstatus",$B12,"-2","-2","-2","Alle","-2","anzahl_beteiligungen")</f>
        <v>416456</v>
      </c>
      <c r="E12" s="206">
        <f ca="1">_xll.PALO.DATAC("jedoxtest/EU_PM_CUBE02","EUPM_Mittel2_Cube",Datenstand,"Alle Beteiligungen","Alle Koordinatoren","Alle Unternehmensgrößen","-2","Alle Organisationstypen",5,"Alle Expertevaluierungsstatus",$B12,"-2",1000001,"-2","Alle","-2","anzahl_beteiligungen")</f>
        <v>343210</v>
      </c>
      <c r="F12" s="362">
        <f ca="1">_xll.PALO.DATAC("jedoxtest/EU_PM_CUBE02","EUPM_Mittel2_Cube",Datenstand,"Alle Beteiligungen","Alle Koordinatoren","Alle Unternehmensgrößen","-2","Alle Organisationstypen",5,"Alle Expertevaluierungsstatus",$B12,"-2",1,"-2","Alle","-2","anzahl_beteiligungen")</f>
        <v>12205</v>
      </c>
      <c r="G12" s="325">
        <f ca="1">IFERROR(_xll.PALO.DATAC("jedoxtest/EU_PM_CUBE02","EUPM_Mittel2_Cube",Datenstand,"Alle Beteiligungen","Alle Koordinatoren","Alle Unternehmensgrößen","-2","Alle Organisationstypen",5,"Alle Expertevaluierungsstatus",$B12,"-2",1,"-2","Alle","-2","anzahl_beteiligungen")/_xll.PALO.DATAC("jedoxtest/EU_PM_CUBE02","EUPM_Mittel2_Cube",Datenstand,"Alle Beteiligungen","Alle Koordinatoren","Alle Unternehmensgrößen","-2","Alle Organisationstypen",5,"Alle Expertevaluierungsstatus",$B12,"-2",-2,"-2","Alle","-2","anzahl_beteiligungen"),"-  ")</f>
        <v>2.9306817526941621E-2</v>
      </c>
      <c r="H12" s="206">
        <f ca="1">_xll.PALO.DATAC("jedoxtest/EU_PM_CUBE02","EUPM_Mittel2_Cube",Datenstand,"Alle Beteiligungen","Alle Koordinatoren","Alle Unternehmensgrößen","-2","Alle Organisationstypen",28,"Alle Expertevaluierungsstatus",$B12,"-2","-2","-2","Alle","-2","anzahl_beteiligungen")</f>
        <v>81606</v>
      </c>
      <c r="I12" s="206">
        <f ca="1">_xll.PALO.DATAC("jedoxtest/EU_PM_CUBE02","EUPM_Mittel2_Cube",Datenstand,"Alle Beteiligungen","Alle Koordinatoren","Alle Unternehmensgrößen","-2","Alle Organisationstypen",28,"Alle Expertevaluierungsstatus",$B12,"-2",1000001,"-2","Alle","-2","anzahl_beteiligungen")</f>
        <v>68985</v>
      </c>
      <c r="J12" s="362">
        <f ca="1">_xll.PALO.DATAC("jedoxtest/EU_PM_CUBE02","EUPM_Mittel2_Cube",Datenstand,"Alle Beteiligungen","Alle Koordinatoren","Alle Unternehmensgrößen","-2","Alle Organisationstypen",28,"Alle Expertevaluierungsstatus",$B12,"-2",1,"-2","Alle","-2","anzahl_beteiligungen")</f>
        <v>2496</v>
      </c>
      <c r="K12" s="325">
        <f ca="1">IFERROR(_xll.PALO.DATAC("jedoxtest/EU_PM_CUBE02","EUPM_Mittel2_Cube",Datenstand,"Alle Beteiligungen","Alle Koordinatoren","Alle Unternehmensgrößen","-2","Alle Organisationstypen",28,"Alle Expertevaluierungsstatus",$B12,"-2",1,"-2","Alle","-2","anzahl_beteiligungen")/_xll.PALO.DATAC("jedoxtest/EU_PM_CUBE02","EUPM_Mittel2_Cube",Datenstand,"Alle Beteiligungen","Alle Koordinatoren","Alle Unternehmensgrößen","-2","Alle Organisationstypen",28,"Alle Expertevaluierungsstatus",$B12,"-2",-2,"-2","Alle","-2","anzahl_beteiligungen"),"-  ")</f>
        <v>3.058598632453496E-2</v>
      </c>
      <c r="L12" s="325">
        <f t="shared" ca="1" si="0"/>
        <v>0.19595347407649308</v>
      </c>
      <c r="M12" s="325">
        <f t="shared" ca="1" si="1"/>
        <v>0.20099938812971649</v>
      </c>
      <c r="N12" s="323">
        <f t="shared" ca="1" si="2"/>
        <v>0.20450634985661614</v>
      </c>
      <c r="O12" s="206">
        <f ca="1">_xll.PALO.DATAC("jedoxtest/EU_PM_CUBE02","EUPM_Mittel2_Cube",Datenstand,"Alle Beteiligungen","Alle Koordinatoren","Alle Unternehmensgrößen","-2","Alle Organisationstypen",28,"Alle Expertevaluierungsstatus",$B12,"-2","-2","-2","Alle","-2","anzahl_koordinatoren")</f>
        <v>4988</v>
      </c>
      <c r="P12" s="206">
        <f ca="1">_xll.PALO.DATAC("jedoxtest/EU_PM_CUBE02","EUPM_Mittel2_Cube",Datenstand,"Alle Beteiligungen","Alle Koordinatoren","Alle Unternehmensgrößen","-2","Alle Organisationstypen",28,"Alle Expertevaluierungsstatus",$B12,"-2",1000001,"-2","Alle","-2","anzahl_koordinatoren")</f>
        <v>4577</v>
      </c>
      <c r="Q12" s="362">
        <f ca="1">_xll.PALO.DATAC("jedoxtest/EU_PM_CUBE02","EUPM_Mittel2_Cube",Datenstand,"Alle Beteiligungen","Alle Koordinatoren","Alle Unternehmensgrößen","-2","Alle Organisationstypen",28,"Alle Expertevaluierungsstatus",$B12,"-2",1,"-2","Alle","-2","anzahl_koordinatoren")</f>
        <v>188</v>
      </c>
      <c r="R12" s="325">
        <f ca="1">IFERROR(_xll.PALO.DATAC("jedoxtest/EU_PM_CUBE02","EUPM_Mittel2_Cube",Datenstand,"Alle Beteiligungen","Alle Koordinatoren","Alle Unternehmensgrößen","-2","Alle Organisationstypen",28,"Alle Expertevaluierungsstatus",$B12,"-2",1,"-2","Alle","-2","anzahl_koordinatoren")/_xll.PALO.DATAC("jedoxtest/EU_PM_CUBE02","EUPM_Mittel2_Cube",Datenstand,"Alle Beteiligungen","Alle Koordinatoren","Alle Unternehmensgrößen","-2","Alle Organisationstypen",28,"Alle Expertevaluierungsstatus",$B12,"-2",-2,"-2","Alle","-2","anzahl_koordinatoren"),"-  ")</f>
        <v>3.7690457097032878E-2</v>
      </c>
      <c r="S12" s="326">
        <f ca="1">_xll.PALO.DATAC("jedoxtest/EU_PM_CUBE02","EUPM_Mittel2_Cube",Datenstand,"Alle Beteiligungen","Alle Koordinatoren","Alle Unternehmensgrößen","-2","Alle Organisationstypen",28,"Alle Expertevaluierungsstatus",$B12,"-2","-2","-2","Alle","-2","foerderung")/1000000</f>
        <v>33079.0634744204</v>
      </c>
      <c r="T12" s="326">
        <f ca="1">_xll.PALO.DATAC("jedoxtest/EU_PM_CUBE02","EUPM_Mittel2_Cube",Datenstand,"Alle Beteiligungen","Alle Koordinatoren","Alle Unternehmensgrößen","-2","Alle Organisationstypen",28,"Alle Expertevaluierungsstatus",$B12,"-2",1000001,"-2","Alle","-2","foerderung")/1000000</f>
        <v>29613.3276036801</v>
      </c>
      <c r="U12" s="326">
        <f ca="1">_xll.PALO.DATAC("jedoxtest/EU_PM_CUBE02","EUPM_Mittel2_Cube",Datenstand,"Alle Beteiligungen","Alle Koordinatoren","Alle Unternehmensgrößen","-2","Alle Organisationstypen",28,"Alle Expertevaluierungsstatus",$B12,"-2",1,"-2","Alle","-2","foerderung")/1000000</f>
        <v>1099.47630349</v>
      </c>
      <c r="V12" s="224">
        <f ca="1">IFERROR(_xll.PALO.DATAC("jedoxtest/EU_PM_CUBE02","EUPM_Mittel2_Cube",Datenstand,"Alle Beteiligungen","Alle Koordinatoren","Alle Unternehmensgrößen","-2","Alle Organisationstypen",28,"Alle Expertevaluierungsstatus",$B12,"-2",1,"-2","Alle","-2","foerderung")/_xll.PALO.DATAC("jedoxtest/EU_PM_CUBE02","EUPM_Mittel2_Cube",Datenstand,"Alle Beteiligungen","Alle Koordinatoren","Alle Unternehmensgrößen","-2","Alle Organisationstypen",28,"Alle Expertevaluierungsstatus",$B12,"-2",-2,"-2","Alle","-2","foerderung"),"-  ")</f>
        <v>3.3237830458537933E-2</v>
      </c>
    </row>
    <row r="13" spans="2:23" ht="15" customHeight="1">
      <c r="B13" t="s">
        <v>145</v>
      </c>
      <c r="C13" s="473" t="str">
        <f ca="1">_xll.PALO.DATA("jedoxtest/EU_PM_CUBE02","#_Programme","Langbezeichnung",$B13)</f>
        <v>Health</v>
      </c>
      <c r="D13" s="226">
        <f ca="1">_xll.PALO.DATAC("jedoxtest/EU_PM_CUBE02","EUPM_Mittel2_Cube",Datenstand,"Alle Beteiligungen","Alle Koordinatoren","Alle Unternehmensgrößen","-2","Alle Organisationstypen",5,"Alle Expertevaluierungsstatus",$B13,"-2","-2","-2","Alle","-2","anzahl_beteiligungen")</f>
        <v>50523</v>
      </c>
      <c r="E13" s="226">
        <f ca="1">_xll.PALO.DATAC("jedoxtest/EU_PM_CUBE02","EUPM_Mittel2_Cube",Datenstand,"Alle Beteiligungen","Alle Koordinatoren","Alle Unternehmensgrößen","-2","Alle Organisationstypen",5,"Alle Expertevaluierungsstatus",$B13,"-2",1000001,"-2","Alle","-2","anzahl_beteiligungen")</f>
        <v>39157</v>
      </c>
      <c r="F13" s="230">
        <f ca="1">_xll.PALO.DATAC("jedoxtest/EU_PM_CUBE02","EUPM_Mittel2_Cube",Datenstand,"Alle Beteiligungen","Alle Koordinatoren","Alle Unternehmensgrößen","-2","Alle Organisationstypen",5,"Alle Expertevaluierungsstatus",$B13,"-2",1,"-2","Alle","-2","anzahl_beteiligungen")</f>
        <v>1207</v>
      </c>
      <c r="G13" s="227">
        <f ca="1">IFERROR(_xll.PALO.DATAC("jedoxtest/EU_PM_CUBE02","EUPM_Mittel2_Cube",Datenstand,"Alle Beteiligungen","Alle Koordinatoren","Alle Unternehmensgrößen","-2","Alle Organisationstypen",5,"Alle Expertevaluierungsstatus",$B13,"-2",1,"-2","Alle","-2","anzahl_beteiligungen")/_xll.PALO.DATAC("jedoxtest/EU_PM_CUBE02","EUPM_Mittel2_Cube",Datenstand,"Alle Beteiligungen","Alle Koordinatoren","Alle Unternehmensgrößen","-2","Alle Organisationstypen",5,"Alle Expertevaluierungsstatus",$B13,"-2",-2,"-2","Alle","-2","anzahl_beteiligungen"),"-  ")</f>
        <v>2.3890109455099659E-2</v>
      </c>
      <c r="H13" s="226">
        <f ca="1">_xll.PALO.DATAC("jedoxtest/EU_PM_CUBE02","EUPM_Mittel2_Cube",Datenstand,"Alle Beteiligungen","Alle Koordinatoren","Alle Unternehmensgrößen","-2","Alle Organisationstypen",28,"Alle Expertevaluierungsstatus",$B13,"-2","-2","-2","Alle","-2","anzahl_beteiligungen")</f>
        <v>11624</v>
      </c>
      <c r="I13" s="226">
        <f ca="1">_xll.PALO.DATAC("jedoxtest/EU_PM_CUBE02","EUPM_Mittel2_Cube",Datenstand,"Alle Beteiligungen","Alle Koordinatoren","Alle Unternehmensgrößen","-2","Alle Organisationstypen",28,"Alle Expertevaluierungsstatus",$B13,"-2",1000001,"-2","Alle","-2","anzahl_beteiligungen")</f>
        <v>8888</v>
      </c>
      <c r="J13" s="230">
        <f ca="1">_xll.PALO.DATAC("jedoxtest/EU_PM_CUBE02","EUPM_Mittel2_Cube",Datenstand,"Alle Beteiligungen","Alle Koordinatoren","Alle Unternehmensgrößen","-2","Alle Organisationstypen",28,"Alle Expertevaluierungsstatus",$B13,"-2",1,"-2","Alle","-2","anzahl_beteiligungen")</f>
        <v>259</v>
      </c>
      <c r="K13" s="227">
        <f ca="1">IFERROR(_xll.PALO.DATAC("jedoxtest/EU_PM_CUBE02","EUPM_Mittel2_Cube",Datenstand,"Alle Beteiligungen","Alle Koordinatoren","Alle Unternehmensgrößen","-2","Alle Organisationstypen",28,"Alle Expertevaluierungsstatus",$B13,"-2",1,"-2","Alle","-2","anzahl_beteiligungen")/_xll.PALO.DATAC("jedoxtest/EU_PM_CUBE02","EUPM_Mittel2_Cube",Datenstand,"Alle Beteiligungen","Alle Koordinatoren","Alle Unternehmensgrößen","-2","Alle Organisationstypen",28,"Alle Expertevaluierungsstatus",$B13,"-2",-2,"-2","Alle","-2","anzahl_beteiligungen"),"-  ")</f>
        <v>2.2281486579490709E-2</v>
      </c>
      <c r="L13" s="227">
        <f t="shared" ca="1" si="0"/>
        <v>0.23007343190230192</v>
      </c>
      <c r="M13" s="227">
        <f t="shared" ca="1" si="1"/>
        <v>0.22698368107873432</v>
      </c>
      <c r="N13" s="232">
        <f t="shared" ca="1" si="2"/>
        <v>0.21458160729080364</v>
      </c>
      <c r="O13" s="226">
        <f ca="1">_xll.PALO.DATAC("jedoxtest/EU_PM_CUBE02","EUPM_Mittel2_Cube",Datenstand,"Alle Beteiligungen","Alle Koordinatoren","Alle Unternehmensgrößen","-2","Alle Organisationstypen",28,"Alle Expertevaluierungsstatus",$B13,"-2","-2","-2","Alle","-2","anzahl_koordinatoren")</f>
        <v>704</v>
      </c>
      <c r="P13" s="226">
        <f ca="1">_xll.PALO.DATAC("jedoxtest/EU_PM_CUBE02","EUPM_Mittel2_Cube",Datenstand,"Alle Beteiligungen","Alle Koordinatoren","Alle Unternehmensgrößen","-2","Alle Organisationstypen",28,"Alle Expertevaluierungsstatus",$B13,"-2",1000001,"-2","Alle","-2","anzahl_koordinatoren")</f>
        <v>623</v>
      </c>
      <c r="Q13" s="230">
        <f ca="1">_xll.PALO.DATAC("jedoxtest/EU_PM_CUBE02","EUPM_Mittel2_Cube",Datenstand,"Alle Beteiligungen","Alle Koordinatoren","Alle Unternehmensgrößen","-2","Alle Organisationstypen",28,"Alle Expertevaluierungsstatus",$B13,"-2",1,"-2","Alle","-2","anzahl_koordinatoren")</f>
        <v>17</v>
      </c>
      <c r="R13" s="227">
        <f ca="1">IFERROR(_xll.PALO.DATAC("jedoxtest/EU_PM_CUBE02","EUPM_Mittel2_Cube",Datenstand,"Alle Beteiligungen","Alle Koordinatoren","Alle Unternehmensgrößen","-2","Alle Organisationstypen",28,"Alle Expertevaluierungsstatus",$B13,"-2",1,"-2","Alle","-2","anzahl_koordinatoren")/_xll.PALO.DATAC("jedoxtest/EU_PM_CUBE02","EUPM_Mittel2_Cube",Datenstand,"Alle Beteiligungen","Alle Koordinatoren","Alle Unternehmensgrößen","-2","Alle Organisationstypen",28,"Alle Expertevaluierungsstatus",$B13,"-2",-2,"-2","Alle","-2","anzahl_koordinatoren"),"-  ")</f>
        <v>2.4147727272727272E-2</v>
      </c>
      <c r="S13" s="228">
        <f ca="1">_xll.PALO.DATAC("jedoxtest/EU_PM_CUBE02","EUPM_Mittel2_Cube",Datenstand,"Alle Beteiligungen","Alle Koordinatoren","Alle Unternehmensgrößen","-2","Alle Organisationstypen",28,"Alle Expertevaluierungsstatus",$B13,"-2","-2","-2","Alle","-2","foerderung")/1000000</f>
        <v>5761.3860900700201</v>
      </c>
      <c r="T13" s="228">
        <f ca="1">_xll.PALO.DATAC("jedoxtest/EU_PM_CUBE02","EUPM_Mittel2_Cube",Datenstand,"Alle Beteiligungen","Alle Koordinatoren","Alle Unternehmensgrößen","-2","Alle Organisationstypen",28,"Alle Expertevaluierungsstatus",$B13,"-2",1000001,"-2","Alle","-2","foerderung")/1000000</f>
        <v>4669.8465985900093</v>
      </c>
      <c r="U13" s="228">
        <f ca="1">_xll.PALO.DATAC("jedoxtest/EU_PM_CUBE02","EUPM_Mittel2_Cube",Datenstand,"Alle Beteiligungen","Alle Koordinatoren","Alle Unternehmensgrößen","-2","Alle Organisationstypen",28,"Alle Expertevaluierungsstatus",$B13,"-2",1,"-2","Alle","-2","foerderung")/1000000</f>
        <v>148.7108819</v>
      </c>
      <c r="V13" s="224">
        <f ca="1">IFERROR(_xll.PALO.DATAC("jedoxtest/EU_PM_CUBE02","EUPM_Mittel2_Cube",Datenstand,"Alle Beteiligungen","Alle Koordinatoren","Alle Unternehmensgrößen","-2","Alle Organisationstypen",28,"Alle Expertevaluierungsstatus",$B13,"-2",1,"-2","Alle","-2","foerderung")/_xll.PALO.DATAC("jedoxtest/EU_PM_CUBE02","EUPM_Mittel2_Cube",Datenstand,"Alle Beteiligungen","Alle Koordinatoren","Alle Unternehmensgrößen","-2","Alle Organisationstypen",28,"Alle Expertevaluierungsstatus",$B13,"-2",-2,"-2","Alle","-2","foerderung"),"-  ")</f>
        <v>2.5811650109043929E-2</v>
      </c>
    </row>
    <row r="14" spans="2:23" ht="15" customHeight="1">
      <c r="B14" t="s">
        <v>146</v>
      </c>
      <c r="C14" s="473"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Organisationstypen",5,"Alle Expertevaluierungsstatus",$B14,"-2","-2","-2","Alle","-2","anzahl_beteiligungen")</f>
        <v>40832</v>
      </c>
      <c r="E14" s="226">
        <f ca="1">_xll.PALO.DATAC("jedoxtest/EU_PM_CUBE02","EUPM_Mittel2_Cube",Datenstand,"Alle Beteiligungen","Alle Koordinatoren","Alle Unternehmensgrößen","-2","Alle Organisationstypen",5,"Alle Expertevaluierungsstatus",$B14,"-2",1000001,"-2","Alle","-2","anzahl_beteiligungen")</f>
        <v>33442</v>
      </c>
      <c r="F14" s="230">
        <f ca="1">_xll.PALO.DATAC("jedoxtest/EU_PM_CUBE02","EUPM_Mittel2_Cube",Datenstand,"Alle Beteiligungen","Alle Koordinatoren","Alle Unternehmensgrößen","-2","Alle Organisationstypen",5,"Alle Expertevaluierungsstatus",$B14,"-2",1,"-2","Alle","-2","anzahl_beteiligungen")</f>
        <v>1270</v>
      </c>
      <c r="G14" s="227">
        <f ca="1">IFERROR(_xll.PALO.DATAC("jedoxtest/EU_PM_CUBE02","EUPM_Mittel2_Cube",Datenstand,"Alle Beteiligungen","Alle Koordinatoren","Alle Unternehmensgrößen","-2","Alle Organisationstypen",5,"Alle Expertevaluierungsstatus",$B14,"-2",1,"-2","Alle","-2","anzahl_beteiligungen")/_xll.PALO.DATAC("jedoxtest/EU_PM_CUBE02","EUPM_Mittel2_Cube",Datenstand,"Alle Beteiligungen","Alle Koordinatoren","Alle Unternehmensgrößen","-2","Alle Organisationstypen",5,"Alle Expertevaluierungsstatus",$B14,"-2",-2,"-2","Alle","-2","anzahl_beteiligungen"),"-  ")</f>
        <v>3.1103056426332289E-2</v>
      </c>
      <c r="H14" s="226">
        <f ca="1">_xll.PALO.DATAC("jedoxtest/EU_PM_CUBE02","EUPM_Mittel2_Cube",Datenstand,"Alle Beteiligungen","Alle Koordinatoren","Alle Unternehmensgrößen","-2","Alle Organisationstypen",28,"Alle Expertevaluierungsstatus",$B14,"-2","-2","-2","Alle","-2","anzahl_beteiligungen")</f>
        <v>5325</v>
      </c>
      <c r="I14" s="226">
        <f ca="1">_xll.PALO.DATAC("jedoxtest/EU_PM_CUBE02","EUPM_Mittel2_Cube",Datenstand,"Alle Beteiligungen","Alle Koordinatoren","Alle Unternehmensgrößen","-2","Alle Organisationstypen",28,"Alle Expertevaluierungsstatus",$B14,"-2",1000001,"-2","Alle","-2","anzahl_beteiligungen")</f>
        <v>4510</v>
      </c>
      <c r="J14" s="230">
        <f ca="1">_xll.PALO.DATAC("jedoxtest/EU_PM_CUBE02","EUPM_Mittel2_Cube",Datenstand,"Alle Beteiligungen","Alle Koordinatoren","Alle Unternehmensgrößen","-2","Alle Organisationstypen",28,"Alle Expertevaluierungsstatus",$B14,"-2",1,"-2","Alle","-2","anzahl_beteiligungen")</f>
        <v>182</v>
      </c>
      <c r="K14" s="227">
        <f ca="1">IFERROR(_xll.PALO.DATAC("jedoxtest/EU_PM_CUBE02","EUPM_Mittel2_Cube",Datenstand,"Alle Beteiligungen","Alle Koordinatoren","Alle Unternehmensgrößen","-2","Alle Organisationstypen",28,"Alle Expertevaluierungsstatus",$B14,"-2",1,"-2","Alle","-2","anzahl_beteiligungen")/_xll.PALO.DATAC("jedoxtest/EU_PM_CUBE02","EUPM_Mittel2_Cube",Datenstand,"Alle Beteiligungen","Alle Koordinatoren","Alle Unternehmensgrößen","-2","Alle Organisationstypen",28,"Alle Expertevaluierungsstatus",$B14,"-2",-2,"-2","Alle","-2","anzahl_beteiligungen"),"-  ")</f>
        <v>3.4178403755868544E-2</v>
      </c>
      <c r="L14" s="227">
        <f t="shared" ca="1" si="0"/>
        <v>0.13041242163009403</v>
      </c>
      <c r="M14" s="227">
        <f t="shared" ca="1" si="1"/>
        <v>0.13486035524191137</v>
      </c>
      <c r="N14" s="232">
        <f t="shared" ca="1" si="2"/>
        <v>0.14330708661417324</v>
      </c>
      <c r="O14" s="226">
        <f ca="1">_xll.PALO.DATAC("jedoxtest/EU_PM_CUBE02","EUPM_Mittel2_Cube",Datenstand,"Alle Beteiligungen","Alle Koordinatoren","Alle Unternehmensgrößen","-2","Alle Organisationstypen",28,"Alle Expertevaluierungsstatus",$B14,"-2","-2","-2","Alle","-2","anzahl_koordinatoren")</f>
        <v>421</v>
      </c>
      <c r="P14" s="226">
        <f ca="1">_xll.PALO.DATAC("jedoxtest/EU_PM_CUBE02","EUPM_Mittel2_Cube",Datenstand,"Alle Beteiligungen","Alle Koordinatoren","Alle Unternehmensgrößen","-2","Alle Organisationstypen",28,"Alle Expertevaluierungsstatus",$B14,"-2",1000001,"-2","Alle","-2","anzahl_koordinatoren")</f>
        <v>386</v>
      </c>
      <c r="Q14" s="230">
        <f ca="1">_xll.PALO.DATAC("jedoxtest/EU_PM_CUBE02","EUPM_Mittel2_Cube",Datenstand,"Alle Beteiligungen","Alle Koordinatoren","Alle Unternehmensgrößen","-2","Alle Organisationstypen",28,"Alle Expertevaluierungsstatus",$B14,"-2",1,"-2","Alle","-2","anzahl_koordinatoren")</f>
        <v>22</v>
      </c>
      <c r="R14" s="227">
        <f ca="1">IFERROR(_xll.PALO.DATAC("jedoxtest/EU_PM_CUBE02","EUPM_Mittel2_Cube",Datenstand,"Alle Beteiligungen","Alle Koordinatoren","Alle Unternehmensgrößen","-2","Alle Organisationstypen",28,"Alle Expertevaluierungsstatus",$B14,"-2",1,"-2","Alle","-2","anzahl_koordinatoren")/_xll.PALO.DATAC("jedoxtest/EU_PM_CUBE02","EUPM_Mittel2_Cube",Datenstand,"Alle Beteiligungen","Alle Koordinatoren","Alle Unternehmensgrößen","-2","Alle Organisationstypen",28,"Alle Expertevaluierungsstatus",$B14,"-2",-2,"-2","Alle","-2","anzahl_koordinatoren"),"-  ")</f>
        <v>5.2256532066508314E-2</v>
      </c>
      <c r="S14" s="228">
        <f ca="1">_xll.PALO.DATAC("jedoxtest/EU_PM_CUBE02","EUPM_Mittel2_Cube",Datenstand,"Alle Beteiligungen","Alle Koordinatoren","Alle Unternehmensgrößen","-2","Alle Organisationstypen",28,"Alle Expertevaluierungsstatus",$B14,"-2","-2","-2","Alle","-2","foerderung")/1000000</f>
        <v>1434.5504329</v>
      </c>
      <c r="T14" s="228">
        <f ca="1">_xll.PALO.DATAC("jedoxtest/EU_PM_CUBE02","EUPM_Mittel2_Cube",Datenstand,"Alle Beteiligungen","Alle Koordinatoren","Alle Unternehmensgrößen","-2","Alle Organisationstypen",28,"Alle Expertevaluierungsstatus",$B14,"-2",1000001,"-2","Alle","-2","foerderung")/1000000</f>
        <v>1296.78713262</v>
      </c>
      <c r="U14" s="228">
        <f ca="1">_xll.PALO.DATAC("jedoxtest/EU_PM_CUBE02","EUPM_Mittel2_Cube",Datenstand,"Alle Beteiligungen","Alle Koordinatoren","Alle Unternehmensgrößen","-2","Alle Organisationstypen",28,"Alle Expertevaluierungsstatus",$B14,"-2",1,"-2","Alle","-2","foerderung")/1000000</f>
        <v>59.716684180000001</v>
      </c>
      <c r="V14" s="224">
        <f ca="1">IFERROR(_xll.PALO.DATAC("jedoxtest/EU_PM_CUBE02","EUPM_Mittel2_Cube",Datenstand,"Alle Beteiligungen","Alle Koordinatoren","Alle Unternehmensgrößen","-2","Alle Organisationstypen",28,"Alle Expertevaluierungsstatus",$B14,"-2",1,"-2","Alle","-2","foerderung")/_xll.PALO.DATAC("jedoxtest/EU_PM_CUBE02","EUPM_Mittel2_Cube",Datenstand,"Alle Beteiligungen","Alle Koordinatoren","Alle Unternehmensgrößen","-2","Alle Organisationstypen",28,"Alle Expertevaluierungsstatus",$B14,"-2",-2,"-2","Alle","-2","foerderung"),"-  ")</f>
        <v>4.1627455410738243E-2</v>
      </c>
    </row>
    <row r="15" spans="2:23" ht="15" customHeight="1">
      <c r="B15" t="s">
        <v>147</v>
      </c>
      <c r="C15" s="473" t="str">
        <f ca="1">_xll.PALO.DATA("jedoxtest/EU_PM_CUBE02","#_Programme","Langbezeichnung",$B15)</f>
        <v>Civil Security for Society</v>
      </c>
      <c r="D15" s="226">
        <f ca="1">_xll.PALO.DATAC("jedoxtest/EU_PM_CUBE02","EUPM_Mittel2_Cube",Datenstand,"Alle Beteiligungen","Alle Koordinatoren","Alle Unternehmensgrößen","-2","Alle Organisationstypen",5,"Alle Expertevaluierungsstatus",$B15,"-2","-2","-2","Alle","-2","anzahl_beteiligungen")</f>
        <v>33769</v>
      </c>
      <c r="E15" s="226">
        <f ca="1">_xll.PALO.DATAC("jedoxtest/EU_PM_CUBE02","EUPM_Mittel2_Cube",Datenstand,"Alle Beteiligungen","Alle Koordinatoren","Alle Unternehmensgrößen","-2","Alle Organisationstypen",5,"Alle Expertevaluierungsstatus",$B15,"-2",1000001,"-2","Alle","-2","anzahl_beteiligungen")</f>
        <v>28537</v>
      </c>
      <c r="F15" s="230">
        <f ca="1">_xll.PALO.DATAC("jedoxtest/EU_PM_CUBE02","EUPM_Mittel2_Cube",Datenstand,"Alle Beteiligungen","Alle Koordinatoren","Alle Unternehmensgrößen","-2","Alle Organisationstypen",5,"Alle Expertevaluierungsstatus",$B15,"-2",1,"-2","Alle","-2","anzahl_beteiligungen")</f>
        <v>954</v>
      </c>
      <c r="G15" s="227">
        <f ca="1">IFERROR(_xll.PALO.DATAC("jedoxtest/EU_PM_CUBE02","EUPM_Mittel2_Cube",Datenstand,"Alle Beteiligungen","Alle Koordinatoren","Alle Unternehmensgrößen","-2","Alle Organisationstypen",5,"Alle Expertevaluierungsstatus",$B15,"-2",1,"-2","Alle","-2","anzahl_beteiligungen")/_xll.PALO.DATAC("jedoxtest/EU_PM_CUBE02","EUPM_Mittel2_Cube",Datenstand,"Alle Beteiligungen","Alle Koordinatoren","Alle Unternehmensgrößen","-2","Alle Organisationstypen",5,"Alle Expertevaluierungsstatus",$B15,"-2",-2,"-2","Alle","-2","anzahl_beteiligungen"),"-  ")</f>
        <v>2.8250762533684741E-2</v>
      </c>
      <c r="H15" s="226">
        <f ca="1">_xll.PALO.DATAC("jedoxtest/EU_PM_CUBE02","EUPM_Mittel2_Cube",Datenstand,"Alle Beteiligungen","Alle Koordinatoren","Alle Unternehmensgrößen","-2","Alle Organisationstypen",28,"Alle Expertevaluierungsstatus",$B15,"-2","-2","-2","Alle","-2","anzahl_beteiligungen")</f>
        <v>3166</v>
      </c>
      <c r="I15" s="226">
        <f ca="1">_xll.PALO.DATAC("jedoxtest/EU_PM_CUBE02","EUPM_Mittel2_Cube",Datenstand,"Alle Beteiligungen","Alle Koordinatoren","Alle Unternehmensgrößen","-2","Alle Organisationstypen",28,"Alle Expertevaluierungsstatus",$B15,"-2",1000001,"-2","Alle","-2","anzahl_beteiligungen")</f>
        <v>2756</v>
      </c>
      <c r="J15" s="230">
        <f ca="1">_xll.PALO.DATAC("jedoxtest/EU_PM_CUBE02","EUPM_Mittel2_Cube",Datenstand,"Alle Beteiligungen","Alle Koordinatoren","Alle Unternehmensgrößen","-2","Alle Organisationstypen",28,"Alle Expertevaluierungsstatus",$B15,"-2",1,"-2","Alle","-2","anzahl_beteiligungen")</f>
        <v>88</v>
      </c>
      <c r="K15" s="227">
        <f ca="1">IFERROR(_xll.PALO.DATAC("jedoxtest/EU_PM_CUBE02","EUPM_Mittel2_Cube",Datenstand,"Alle Beteiligungen","Alle Koordinatoren","Alle Unternehmensgrößen","-2","Alle Organisationstypen",28,"Alle Expertevaluierungsstatus",$B15,"-2",1,"-2","Alle","-2","anzahl_beteiligungen")/_xll.PALO.DATAC("jedoxtest/EU_PM_CUBE02","EUPM_Mittel2_Cube",Datenstand,"Alle Beteiligungen","Alle Koordinatoren","Alle Unternehmensgrößen","-2","Alle Organisationstypen",28,"Alle Expertevaluierungsstatus",$B15,"-2",-2,"-2","Alle","-2","anzahl_beteiligungen"),"-  ")</f>
        <v>2.7795325331648767E-2</v>
      </c>
      <c r="L15" s="227">
        <f t="shared" ca="1" si="0"/>
        <v>9.3754627024786041E-2</v>
      </c>
      <c r="M15" s="227">
        <f t="shared" ca="1" si="1"/>
        <v>9.6576374531310225E-2</v>
      </c>
      <c r="N15" s="232">
        <f t="shared" ca="1" si="2"/>
        <v>9.2243186582809222E-2</v>
      </c>
      <c r="O15" s="226">
        <f ca="1">_xll.PALO.DATAC("jedoxtest/EU_PM_CUBE02","EUPM_Mittel2_Cube",Datenstand,"Alle Beteiligungen","Alle Koordinatoren","Alle Unternehmensgrößen","-2","Alle Organisationstypen",28,"Alle Expertevaluierungsstatus",$B15,"-2","-2","-2","Alle","-2","anzahl_koordinatoren")</f>
        <v>194</v>
      </c>
      <c r="P15" s="226">
        <f ca="1">_xll.PALO.DATAC("jedoxtest/EU_PM_CUBE02","EUPM_Mittel2_Cube",Datenstand,"Alle Beteiligungen","Alle Koordinatoren","Alle Unternehmensgrößen","-2","Alle Organisationstypen",28,"Alle Expertevaluierungsstatus",$B15,"-2",1000001,"-2","Alle","-2","anzahl_koordinatoren")</f>
        <v>187</v>
      </c>
      <c r="Q15" s="230">
        <f ca="1">_xll.PALO.DATAC("jedoxtest/EU_PM_CUBE02","EUPM_Mittel2_Cube",Datenstand,"Alle Beteiligungen","Alle Koordinatoren","Alle Unternehmensgrößen","-2","Alle Organisationstypen",28,"Alle Expertevaluierungsstatus",$B15,"-2",1,"-2","Alle","-2","anzahl_koordinatoren")</f>
        <v>7</v>
      </c>
      <c r="R15" s="227">
        <f ca="1">IFERROR(_xll.PALO.DATAC("jedoxtest/EU_PM_CUBE02","EUPM_Mittel2_Cube",Datenstand,"Alle Beteiligungen","Alle Koordinatoren","Alle Unternehmensgrößen","-2","Alle Organisationstypen",28,"Alle Expertevaluierungsstatus",$B15,"-2",1,"-2","Alle","-2","anzahl_koordinatoren")/_xll.PALO.DATAC("jedoxtest/EU_PM_CUBE02","EUPM_Mittel2_Cube",Datenstand,"Alle Beteiligungen","Alle Koordinatoren","Alle Unternehmensgrößen","-2","Alle Organisationstypen",28,"Alle Expertevaluierungsstatus",$B15,"-2",-2,"-2","Alle","-2","anzahl_koordinatoren"),"-  ")</f>
        <v>3.608247422680412E-2</v>
      </c>
      <c r="S15" s="228">
        <f ca="1">_xll.PALO.DATAC("jedoxtest/EU_PM_CUBE02","EUPM_Mittel2_Cube",Datenstand,"Alle Beteiligungen","Alle Koordinatoren","Alle Unternehmensgrößen","-2","Alle Organisationstypen",28,"Alle Expertevaluierungsstatus",$B15,"-2","-2","-2","Alle","-2","foerderung")/1000000</f>
        <v>819.85458451</v>
      </c>
      <c r="T15" s="228">
        <f ca="1">_xll.PALO.DATAC("jedoxtest/EU_PM_CUBE02","EUPM_Mittel2_Cube",Datenstand,"Alle Beteiligungen","Alle Koordinatoren","Alle Unternehmensgrößen","-2","Alle Organisationstypen",28,"Alle Expertevaluierungsstatus",$B15,"-2",1000001,"-2","Alle","-2","foerderung")/1000000</f>
        <v>770.40651939999998</v>
      </c>
      <c r="U15" s="228">
        <f ca="1">_xll.PALO.DATAC("jedoxtest/EU_PM_CUBE02","EUPM_Mittel2_Cube",Datenstand,"Alle Beteiligungen","Alle Koordinatoren","Alle Unternehmensgrößen","-2","Alle Organisationstypen",28,"Alle Expertevaluierungsstatus",$B15,"-2",1,"-2","Alle","-2","foerderung")/1000000</f>
        <v>30.921667230000001</v>
      </c>
      <c r="V15" s="224">
        <f ca="1">IFERROR(_xll.PALO.DATAC("jedoxtest/EU_PM_CUBE02","EUPM_Mittel2_Cube",Datenstand,"Alle Beteiligungen","Alle Koordinatoren","Alle Unternehmensgrößen","-2","Alle Organisationstypen",28,"Alle Expertevaluierungsstatus",$B15,"-2",1,"-2","Alle","-2","foerderung")/_xll.PALO.DATAC("jedoxtest/EU_PM_CUBE02","EUPM_Mittel2_Cube",Datenstand,"Alle Beteiligungen","Alle Koordinatoren","Alle Unternehmensgrößen","-2","Alle Organisationstypen",28,"Alle Expertevaluierungsstatus",$B15,"-2",-2,"-2","Alle","-2","foerderung"),"-  ")</f>
        <v>3.7716038690545177E-2</v>
      </c>
    </row>
    <row r="16" spans="2:23" ht="15" customHeight="1">
      <c r="B16" t="s">
        <v>148</v>
      </c>
      <c r="C16" s="473" t="str">
        <f ca="1">_xll.PALO.DATA("jedoxtest/EU_PM_CUBE02","#_Programme","Langbezeichnung",$B16)</f>
        <v>Digital, Industry and Space</v>
      </c>
      <c r="D16" s="226">
        <f ca="1">_xll.PALO.DATAC("jedoxtest/EU_PM_CUBE02","EUPM_Mittel2_Cube",Datenstand,"Alle Beteiligungen","Alle Koordinatoren","Alle Unternehmensgrößen","-2","Alle Organisationstypen",5,"Alle Expertevaluierungsstatus",$B16,"-2","-2","-2","Alle","-2","anzahl_beteiligungen")</f>
        <v>98504</v>
      </c>
      <c r="E16" s="226">
        <f ca="1">_xll.PALO.DATAC("jedoxtest/EU_PM_CUBE02","EUPM_Mittel2_Cube",Datenstand,"Alle Beteiligungen","Alle Koordinatoren","Alle Unternehmensgrößen","-2","Alle Organisationstypen",5,"Alle Expertevaluierungsstatus",$B16,"-2",1000001,"-2","Alle","-2","anzahl_beteiligungen")</f>
        <v>84016</v>
      </c>
      <c r="F16" s="230">
        <f ca="1">_xll.PALO.DATAC("jedoxtest/EU_PM_CUBE02","EUPM_Mittel2_Cube",Datenstand,"Alle Beteiligungen","Alle Koordinatoren","Alle Unternehmensgrößen","-2","Alle Organisationstypen",5,"Alle Expertevaluierungsstatus",$B16,"-2",1,"-2","Alle","-2","anzahl_beteiligungen")</f>
        <v>3490</v>
      </c>
      <c r="G16" s="227">
        <f ca="1">IFERROR(_xll.PALO.DATAC("jedoxtest/EU_PM_CUBE02","EUPM_Mittel2_Cube",Datenstand,"Alle Beteiligungen","Alle Koordinatoren","Alle Unternehmensgrößen","-2","Alle Organisationstypen",5,"Alle Expertevaluierungsstatus",$B16,"-2",1,"-2","Alle","-2","anzahl_beteiligungen")/_xll.PALO.DATAC("jedoxtest/EU_PM_CUBE02","EUPM_Mittel2_Cube",Datenstand,"Alle Beteiligungen","Alle Koordinatoren","Alle Unternehmensgrößen","-2","Alle Organisationstypen",5,"Alle Expertevaluierungsstatus",$B16,"-2",-2,"-2","Alle","-2","anzahl_beteiligungen"),"-  ")</f>
        <v>3.5430033298140179E-2</v>
      </c>
      <c r="H16" s="226">
        <f ca="1">_xll.PALO.DATAC("jedoxtest/EU_PM_CUBE02","EUPM_Mittel2_Cube",Datenstand,"Alle Beteiligungen","Alle Koordinatoren","Alle Unternehmensgrößen","-2","Alle Organisationstypen",28,"Alle Expertevaluierungsstatus",$B16,"-2","-2","-2","Alle","-2","anzahl_beteiligungen")</f>
        <v>19779</v>
      </c>
      <c r="I16" s="226">
        <f ca="1">_xll.PALO.DATAC("jedoxtest/EU_PM_CUBE02","EUPM_Mittel2_Cube",Datenstand,"Alle Beteiligungen","Alle Koordinatoren","Alle Unternehmensgrößen","-2","Alle Organisationstypen",28,"Alle Expertevaluierungsstatus",$B16,"-2",1000001,"-2","Alle","-2","anzahl_beteiligungen")</f>
        <v>17563</v>
      </c>
      <c r="J16" s="230">
        <f ca="1">_xll.PALO.DATAC("jedoxtest/EU_PM_CUBE02","EUPM_Mittel2_Cube",Datenstand,"Alle Beteiligungen","Alle Koordinatoren","Alle Unternehmensgrößen","-2","Alle Organisationstypen",28,"Alle Expertevaluierungsstatus",$B16,"-2",1,"-2","Alle","-2","anzahl_beteiligungen")</f>
        <v>745</v>
      </c>
      <c r="K16" s="227">
        <f ca="1">IFERROR(_xll.PALO.DATAC("jedoxtest/EU_PM_CUBE02","EUPM_Mittel2_Cube",Datenstand,"Alle Beteiligungen","Alle Koordinatoren","Alle Unternehmensgrößen","-2","Alle Organisationstypen",28,"Alle Expertevaluierungsstatus",$B16,"-2",1,"-2","Alle","-2","anzahl_beteiligungen")/_xll.PALO.DATAC("jedoxtest/EU_PM_CUBE02","EUPM_Mittel2_Cube",Datenstand,"Alle Beteiligungen","Alle Koordinatoren","Alle Unternehmensgrößen","-2","Alle Organisationstypen",28,"Alle Expertevaluierungsstatus",$B16,"-2",-2,"-2","Alle","-2","anzahl_beteiligungen"),"-  ")</f>
        <v>3.7666211638606603E-2</v>
      </c>
      <c r="L16" s="227">
        <f t="shared" ca="1" si="0"/>
        <v>0.20079387639080645</v>
      </c>
      <c r="M16" s="227">
        <f t="shared" ca="1" si="1"/>
        <v>0.20904351552085318</v>
      </c>
      <c r="N16" s="232">
        <f t="shared" ca="1" si="2"/>
        <v>0.21346704871060171</v>
      </c>
      <c r="O16" s="226">
        <f ca="1">_xll.PALO.DATAC("jedoxtest/EU_PM_CUBE02","EUPM_Mittel2_Cube",Datenstand,"Alle Beteiligungen","Alle Koordinatoren","Alle Unternehmensgrößen","-2","Alle Organisationstypen",28,"Alle Expertevaluierungsstatus",$B16,"-2","-2","-2","Alle","-2","anzahl_koordinatoren")</f>
        <v>1274</v>
      </c>
      <c r="P16" s="226">
        <f ca="1">_xll.PALO.DATAC("jedoxtest/EU_PM_CUBE02","EUPM_Mittel2_Cube",Datenstand,"Alle Beteiligungen","Alle Koordinatoren","Alle Unternehmensgrößen","-2","Alle Organisationstypen",28,"Alle Expertevaluierungsstatus",$B16,"-2",1000001,"-2","Alle","-2","anzahl_koordinatoren")</f>
        <v>1209</v>
      </c>
      <c r="Q16" s="230">
        <f ca="1">_xll.PALO.DATAC("jedoxtest/EU_PM_CUBE02","EUPM_Mittel2_Cube",Datenstand,"Alle Beteiligungen","Alle Koordinatoren","Alle Unternehmensgrößen","-2","Alle Organisationstypen",28,"Alle Expertevaluierungsstatus",$B16,"-2",1,"-2","Alle","-2","anzahl_koordinatoren")</f>
        <v>47</v>
      </c>
      <c r="R16" s="227">
        <f ca="1">IFERROR(_xll.PALO.DATAC("jedoxtest/EU_PM_CUBE02","EUPM_Mittel2_Cube",Datenstand,"Alle Beteiligungen","Alle Koordinatoren","Alle Unternehmensgrößen","-2","Alle Organisationstypen",28,"Alle Expertevaluierungsstatus",$B16,"-2",1,"-2","Alle","-2","anzahl_koordinatoren")/_xll.PALO.DATAC("jedoxtest/EU_PM_CUBE02","EUPM_Mittel2_Cube",Datenstand,"Alle Beteiligungen","Alle Koordinatoren","Alle Unternehmensgrößen","-2","Alle Organisationstypen",28,"Alle Expertevaluierungsstatus",$B16,"-2",-2,"-2","Alle","-2","anzahl_koordinatoren"),"-  ")</f>
        <v>3.6891679748822605E-2</v>
      </c>
      <c r="S16" s="228">
        <f ca="1">_xll.PALO.DATAC("jedoxtest/EU_PM_CUBE02","EUPM_Mittel2_Cube",Datenstand,"Alle Beteiligungen","Alle Koordinatoren","Alle Unternehmensgrößen","-2","Alle Organisationstypen",28,"Alle Expertevaluierungsstatus",$B16,"-2","-2","-2","Alle","-2","foerderung")/1000000</f>
        <v>9003.9758748000386</v>
      </c>
      <c r="T16" s="228">
        <f ca="1">_xll.PALO.DATAC("jedoxtest/EU_PM_CUBE02","EUPM_Mittel2_Cube",Datenstand,"Alle Beteiligungen","Alle Koordinatoren","Alle Unternehmensgrößen","-2","Alle Organisationstypen",28,"Alle Expertevaluierungsstatus",$B16,"-2",1000001,"-2","Alle","-2","foerderung")/1000000</f>
        <v>8494.7308211200507</v>
      </c>
      <c r="U16" s="228">
        <f ca="1">_xll.PALO.DATAC("jedoxtest/EU_PM_CUBE02","EUPM_Mittel2_Cube",Datenstand,"Alle Beteiligungen","Alle Koordinatoren","Alle Unternehmensgrößen","-2","Alle Organisationstypen",28,"Alle Expertevaluierungsstatus",$B16,"-2",1,"-2","Alle","-2","foerderung")/1000000</f>
        <v>324.81460499000002</v>
      </c>
      <c r="V16" s="224">
        <f ca="1">IFERROR(_xll.PALO.DATAC("jedoxtest/EU_PM_CUBE02","EUPM_Mittel2_Cube",Datenstand,"Alle Beteiligungen","Alle Koordinatoren","Alle Unternehmensgrößen","-2","Alle Organisationstypen",28,"Alle Expertevaluierungsstatus",$B16,"-2",1,"-2","Alle","-2","foerderung")/_xll.PALO.DATAC("jedoxtest/EU_PM_CUBE02","EUPM_Mittel2_Cube",Datenstand,"Alle Beteiligungen","Alle Koordinatoren","Alle Unternehmensgrößen","-2","Alle Organisationstypen",28,"Alle Expertevaluierungsstatus",$B16,"-2",-2,"-2","Alle","-2","foerderung"),"-  ")</f>
        <v>3.6074575221717094E-2</v>
      </c>
    </row>
    <row r="17" spans="1:22" ht="15" customHeight="1">
      <c r="B17" t="s">
        <v>149</v>
      </c>
      <c r="C17" s="473" t="str">
        <f ca="1">_xll.PALO.DATA("jedoxtest/EU_PM_CUBE02","#_Programme","Langbezeichnung",$B17)</f>
        <v>Climate, Energy and Mobility</v>
      </c>
      <c r="D17" s="226">
        <f ca="1">_xll.PALO.DATAC("jedoxtest/EU_PM_CUBE02","EUPM_Mittel2_Cube",Datenstand,"Alle Beteiligungen","Alle Koordinatoren","Alle Unternehmensgrößen","-2","Alle Organisationstypen",5,"Alle Expertevaluierungsstatus",$B17,"-2","-2","-2","Alle","-2","anzahl_beteiligungen")</f>
        <v>113873</v>
      </c>
      <c r="E17" s="226">
        <f ca="1">_xll.PALO.DATAC("jedoxtest/EU_PM_CUBE02","EUPM_Mittel2_Cube",Datenstand,"Alle Beteiligungen","Alle Koordinatoren","Alle Unternehmensgrößen","-2","Alle Organisationstypen",5,"Alle Expertevaluierungsstatus",$B17,"-2",1000001,"-2","Alle","-2","anzahl_beteiligungen")</f>
        <v>94103</v>
      </c>
      <c r="F17" s="230">
        <f ca="1">_xll.PALO.DATAC("jedoxtest/EU_PM_CUBE02","EUPM_Mittel2_Cube",Datenstand,"Alle Beteiligungen","Alle Koordinatoren","Alle Unternehmensgrößen","-2","Alle Organisationstypen",5,"Alle Expertevaluierungsstatus",$B17,"-2",1,"-2","Alle","-2","anzahl_beteiligungen")</f>
        <v>3530</v>
      </c>
      <c r="G17" s="227">
        <f ca="1">IFERROR(_xll.PALO.DATAC("jedoxtest/EU_PM_CUBE02","EUPM_Mittel2_Cube",Datenstand,"Alle Beteiligungen","Alle Koordinatoren","Alle Unternehmensgrößen","-2","Alle Organisationstypen",5,"Alle Expertevaluierungsstatus",$B17,"-2",1,"-2","Alle","-2","anzahl_beteiligungen")/_xll.PALO.DATAC("jedoxtest/EU_PM_CUBE02","EUPM_Mittel2_Cube",Datenstand,"Alle Beteiligungen","Alle Koordinatoren","Alle Unternehmensgrößen","-2","Alle Organisationstypen",5,"Alle Expertevaluierungsstatus",$B17,"-2",-2,"-2","Alle","-2","anzahl_beteiligungen"),"-  ")</f>
        <v>3.0999446752083461E-2</v>
      </c>
      <c r="H17" s="226">
        <f ca="1">_xll.PALO.DATAC("jedoxtest/EU_PM_CUBE02","EUPM_Mittel2_Cube",Datenstand,"Alle Beteiligungen","Alle Koordinatoren","Alle Unternehmensgrößen","-2","Alle Organisationstypen",28,"Alle Expertevaluierungsstatus",$B17,"-2","-2","-2","Alle","-2","anzahl_beteiligungen")</f>
        <v>23696</v>
      </c>
      <c r="I17" s="226">
        <f ca="1">_xll.PALO.DATAC("jedoxtest/EU_PM_CUBE02","EUPM_Mittel2_Cube",Datenstand,"Alle Beteiligungen","Alle Koordinatoren","Alle Unternehmensgrößen","-2","Alle Organisationstypen",28,"Alle Expertevaluierungsstatus",$B17,"-2",1000001,"-2","Alle","-2","anzahl_beteiligungen")</f>
        <v>20188</v>
      </c>
      <c r="J17" s="230">
        <f ca="1">_xll.PALO.DATAC("jedoxtest/EU_PM_CUBE02","EUPM_Mittel2_Cube",Datenstand,"Alle Beteiligungen","Alle Koordinatoren","Alle Unternehmensgrößen","-2","Alle Organisationstypen",28,"Alle Expertevaluierungsstatus",$B17,"-2",1,"-2","Alle","-2","anzahl_beteiligungen")</f>
        <v>783</v>
      </c>
      <c r="K17" s="227">
        <f ca="1">IFERROR(_xll.PALO.DATAC("jedoxtest/EU_PM_CUBE02","EUPM_Mittel2_Cube",Datenstand,"Alle Beteiligungen","Alle Koordinatoren","Alle Unternehmensgrößen","-2","Alle Organisationstypen",28,"Alle Expertevaluierungsstatus",$B17,"-2",1,"-2","Alle","-2","anzahl_beteiligungen")/_xll.PALO.DATAC("jedoxtest/EU_PM_CUBE02","EUPM_Mittel2_Cube",Datenstand,"Alle Beteiligungen","Alle Koordinatoren","Alle Unternehmensgrößen","-2","Alle Organisationstypen",28,"Alle Expertevaluierungsstatus",$B17,"-2",-2,"-2","Alle","-2","anzahl_beteiligungen"),"-  ")</f>
        <v>3.3043551654287642E-2</v>
      </c>
      <c r="L17" s="227">
        <f t="shared" ca="1" si="0"/>
        <v>0.20809147032220104</v>
      </c>
      <c r="M17" s="227">
        <f t="shared" ca="1" si="1"/>
        <v>0.21453088636919121</v>
      </c>
      <c r="N17" s="232">
        <f t="shared" ca="1" si="2"/>
        <v>0.22181303116147308</v>
      </c>
      <c r="O17" s="226">
        <f ca="1">_xll.PALO.DATAC("jedoxtest/EU_PM_CUBE02","EUPM_Mittel2_Cube",Datenstand,"Alle Beteiligungen","Alle Koordinatoren","Alle Unternehmensgrößen","-2","Alle Organisationstypen",28,"Alle Expertevaluierungsstatus",$B17,"-2","-2","-2","Alle","-2","anzahl_koordinatoren")</f>
        <v>1435</v>
      </c>
      <c r="P17" s="226">
        <f ca="1">_xll.PALO.DATAC("jedoxtest/EU_PM_CUBE02","EUPM_Mittel2_Cube",Datenstand,"Alle Beteiligungen","Alle Koordinatoren","Alle Unternehmensgrößen","-2","Alle Organisationstypen",28,"Alle Expertevaluierungsstatus",$B17,"-2",1000001,"-2","Alle","-2","anzahl_koordinatoren")</f>
        <v>1289</v>
      </c>
      <c r="Q17" s="230">
        <f ca="1">_xll.PALO.DATAC("jedoxtest/EU_PM_CUBE02","EUPM_Mittel2_Cube",Datenstand,"Alle Beteiligungen","Alle Koordinatoren","Alle Unternehmensgrößen","-2","Alle Organisationstypen",28,"Alle Expertevaluierungsstatus",$B17,"-2",1,"-2","Alle","-2","anzahl_koordinatoren")</f>
        <v>69</v>
      </c>
      <c r="R17" s="227">
        <f ca="1">IFERROR(_xll.PALO.DATAC("jedoxtest/EU_PM_CUBE02","EUPM_Mittel2_Cube",Datenstand,"Alle Beteiligungen","Alle Koordinatoren","Alle Unternehmensgrößen","-2","Alle Organisationstypen",28,"Alle Expertevaluierungsstatus",$B17,"-2",1,"-2","Alle","-2","anzahl_koordinatoren")/_xll.PALO.DATAC("jedoxtest/EU_PM_CUBE02","EUPM_Mittel2_Cube",Datenstand,"Alle Beteiligungen","Alle Koordinatoren","Alle Unternehmensgrößen","-2","Alle Organisationstypen",28,"Alle Expertevaluierungsstatus",$B17,"-2",-2,"-2","Alle","-2","anzahl_koordinatoren"),"-  ")</f>
        <v>4.808362369337979E-2</v>
      </c>
      <c r="S17" s="228">
        <f ca="1">_xll.PALO.DATAC("jedoxtest/EU_PM_CUBE02","EUPM_Mittel2_Cube",Datenstand,"Alle Beteiligungen","Alle Koordinatoren","Alle Unternehmensgrößen","-2","Alle Organisationstypen",28,"Alle Expertevaluierungsstatus",$B17,"-2","-2","-2","Alle","-2","foerderung")/1000000</f>
        <v>9987.6716099200312</v>
      </c>
      <c r="T17" s="228">
        <f ca="1">_xll.PALO.DATAC("jedoxtest/EU_PM_CUBE02","EUPM_Mittel2_Cube",Datenstand,"Alle Beteiligungen","Alle Koordinatoren","Alle Unternehmensgrößen","-2","Alle Organisationstypen",28,"Alle Expertevaluierungsstatus",$B17,"-2",1000001,"-2","Alle","-2","foerderung")/1000000</f>
        <v>8996.1652092600598</v>
      </c>
      <c r="U17" s="228">
        <f ca="1">_xll.PALO.DATAC("jedoxtest/EU_PM_CUBE02","EUPM_Mittel2_Cube",Datenstand,"Alle Beteiligungen","Alle Koordinatoren","Alle Unternehmensgrößen","-2","Alle Organisationstypen",28,"Alle Expertevaluierungsstatus",$B17,"-2",1,"-2","Alle","-2","foerderung")/1000000</f>
        <v>381.36133322000001</v>
      </c>
      <c r="V17" s="224">
        <f ca="1">IFERROR(_xll.PALO.DATAC("jedoxtest/EU_PM_CUBE02","EUPM_Mittel2_Cube",Datenstand,"Alle Beteiligungen","Alle Koordinatoren","Alle Unternehmensgrößen","-2","Alle Organisationstypen",28,"Alle Expertevaluierungsstatus",$B17,"-2",1,"-2","Alle","-2","foerderung")/_xll.PALO.DATAC("jedoxtest/EU_PM_CUBE02","EUPM_Mittel2_Cube",Datenstand,"Alle Beteiligungen","Alle Koordinatoren","Alle Unternehmensgrößen","-2","Alle Organisationstypen",28,"Alle Expertevaluierungsstatus",$B17,"-2",-2,"-2","Alle","-2","foerderung"),"-  ")</f>
        <v>3.8183207069125244E-2</v>
      </c>
    </row>
    <row r="18" spans="1:22" ht="32.25" customHeight="1">
      <c r="B18" t="s">
        <v>150</v>
      </c>
      <c r="C18" s="473"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Organisationstypen",5,"Alle Expertevaluierungsstatus",$B18,"-2","-2","-2","Alle","-2","anzahl_beteiligungen")</f>
        <v>78955</v>
      </c>
      <c r="E18" s="226">
        <f ca="1">_xll.PALO.DATAC("jedoxtest/EU_PM_CUBE02","EUPM_Mittel2_Cube",Datenstand,"Alle Beteiligungen","Alle Koordinatoren","Alle Unternehmensgrößen","-2","Alle Organisationstypen",5,"Alle Expertevaluierungsstatus",$B18,"-2",1000001,"-2","Alle","-2","anzahl_beteiligungen")</f>
        <v>63955</v>
      </c>
      <c r="F18" s="230">
        <f ca="1">_xll.PALO.DATAC("jedoxtest/EU_PM_CUBE02","EUPM_Mittel2_Cube",Datenstand,"Alle Beteiligungen","Alle Koordinatoren","Alle Unternehmensgrößen","-2","Alle Organisationstypen",5,"Alle Expertevaluierungsstatus",$B18,"-2",1,"-2","Alle","-2","anzahl_beteiligungen")</f>
        <v>1754</v>
      </c>
      <c r="G18" s="227">
        <f ca="1">IFERROR(_xll.PALO.DATAC("jedoxtest/EU_PM_CUBE02","EUPM_Mittel2_Cube",Datenstand,"Alle Beteiligungen","Alle Koordinatoren","Alle Unternehmensgrößen","-2","Alle Organisationstypen",5,"Alle Expertevaluierungsstatus",$B18,"-2",1,"-2","Alle","-2","anzahl_beteiligungen")/_xll.PALO.DATAC("jedoxtest/EU_PM_CUBE02","EUPM_Mittel2_Cube",Datenstand,"Alle Beteiligungen","Alle Koordinatoren","Alle Unternehmensgrößen","-2","Alle Organisationstypen",5,"Alle Expertevaluierungsstatus",$B18,"-2",-2,"-2","Alle","-2","anzahl_beteiligungen"),"-  ")</f>
        <v>2.2215185865366346E-2</v>
      </c>
      <c r="H18" s="226">
        <f ca="1">_xll.PALO.DATAC("jedoxtest/EU_PM_CUBE02","EUPM_Mittel2_Cube",Datenstand,"Alle Beteiligungen","Alle Koordinatoren","Alle Unternehmensgrößen","-2","Alle Organisationstypen",28,"Alle Expertevaluierungsstatus",$B18,"-2","-2","-2","Alle","-2","anzahl_beteiligungen")</f>
        <v>18016</v>
      </c>
      <c r="I18" s="226">
        <f ca="1">_xll.PALO.DATAC("jedoxtest/EU_PM_CUBE02","EUPM_Mittel2_Cube",Datenstand,"Alle Beteiligungen","Alle Koordinatoren","Alle Unternehmensgrößen","-2","Alle Organisationstypen",28,"Alle Expertevaluierungsstatus",$B18,"-2",1000001,"-2","Alle","-2","anzahl_beteiligungen")</f>
        <v>15080</v>
      </c>
      <c r="J18" s="230">
        <f ca="1">_xll.PALO.DATAC("jedoxtest/EU_PM_CUBE02","EUPM_Mittel2_Cube",Datenstand,"Alle Beteiligungen","Alle Koordinatoren","Alle Unternehmensgrößen","-2","Alle Organisationstypen",28,"Alle Expertevaluierungsstatus",$B18,"-2",1,"-2","Alle","-2","anzahl_beteiligungen")</f>
        <v>439</v>
      </c>
      <c r="K18" s="227">
        <f ca="1">IFERROR(_xll.PALO.DATAC("jedoxtest/EU_PM_CUBE02","EUPM_Mittel2_Cube",Datenstand,"Alle Beteiligungen","Alle Koordinatoren","Alle Unternehmensgrößen","-2","Alle Organisationstypen",28,"Alle Expertevaluierungsstatus",$B18,"-2",1,"-2","Alle","-2","anzahl_beteiligungen")/_xll.PALO.DATAC("jedoxtest/EU_PM_CUBE02","EUPM_Mittel2_Cube",Datenstand,"Alle Beteiligungen","Alle Koordinatoren","Alle Unternehmensgrößen","-2","Alle Organisationstypen",28,"Alle Expertevaluierungsstatus",$B18,"-2",-2,"-2","Alle","-2","anzahl_beteiligungen"),"-  ")</f>
        <v>2.4367229129662521E-2</v>
      </c>
      <c r="L18" s="227">
        <f t="shared" ca="1" si="0"/>
        <v>0.22818060920777658</v>
      </c>
      <c r="M18" s="227">
        <f t="shared" ca="1" si="1"/>
        <v>0.23579079039949966</v>
      </c>
      <c r="N18" s="232">
        <f t="shared" ca="1" si="2"/>
        <v>0.25028506271379702</v>
      </c>
      <c r="O18" s="226">
        <f ca="1">_xll.PALO.DATAC("jedoxtest/EU_PM_CUBE02","EUPM_Mittel2_Cube",Datenstand,"Alle Beteiligungen","Alle Koordinatoren","Alle Unternehmensgrößen","-2","Alle Organisationstypen",28,"Alle Expertevaluierungsstatus",$B18,"-2","-2","-2","Alle","-2","anzahl_koordinatoren")</f>
        <v>960</v>
      </c>
      <c r="P18" s="226">
        <f ca="1">_xll.PALO.DATAC("jedoxtest/EU_PM_CUBE02","EUPM_Mittel2_Cube",Datenstand,"Alle Beteiligungen","Alle Koordinatoren","Alle Unternehmensgrößen","-2","Alle Organisationstypen",28,"Alle Expertevaluierungsstatus",$B18,"-2",1000001,"-2","Alle","-2","anzahl_koordinatoren")</f>
        <v>883</v>
      </c>
      <c r="Q18" s="230">
        <f ca="1">_xll.PALO.DATAC("jedoxtest/EU_PM_CUBE02","EUPM_Mittel2_Cube",Datenstand,"Alle Beteiligungen","Alle Koordinatoren","Alle Unternehmensgrößen","-2","Alle Organisationstypen",28,"Alle Expertevaluierungsstatus",$B18,"-2",1,"-2","Alle","-2","anzahl_koordinatoren")</f>
        <v>26</v>
      </c>
      <c r="R18" s="227">
        <f ca="1">IFERROR(_xll.PALO.DATAC("jedoxtest/EU_PM_CUBE02","EUPM_Mittel2_Cube",Datenstand,"Alle Beteiligungen","Alle Koordinatoren","Alle Unternehmensgrößen","-2","Alle Organisationstypen",28,"Alle Expertevaluierungsstatus",$B18,"-2",1,"-2","Alle","-2","anzahl_koordinatoren")/_xll.PALO.DATAC("jedoxtest/EU_PM_CUBE02","EUPM_Mittel2_Cube",Datenstand,"Alle Beteiligungen","Alle Koordinatoren","Alle Unternehmensgrößen","-2","Alle Organisationstypen",28,"Alle Expertevaluierungsstatus",$B18,"-2",-2,"-2","Alle","-2","anzahl_koordinatoren"),"-  ")</f>
        <v>2.7083333333333334E-2</v>
      </c>
      <c r="S18" s="228">
        <f ca="1">_xll.PALO.DATAC("jedoxtest/EU_PM_CUBE02","EUPM_Mittel2_Cube",Datenstand,"Alle Beteiligungen","Alle Koordinatoren","Alle Unternehmensgrößen","-2","Alle Organisationstypen",28,"Alle Expertevaluierungsstatus",$B18,"-2","-2","-2","Alle","-2","foerderung")/1000000</f>
        <v>6071.6248822200405</v>
      </c>
      <c r="T18" s="228">
        <f ca="1">_xll.PALO.DATAC("jedoxtest/EU_PM_CUBE02","EUPM_Mittel2_Cube",Datenstand,"Alle Beteiligungen","Alle Koordinatoren","Alle Unternehmensgrößen","-2","Alle Organisationstypen",28,"Alle Expertevaluierungsstatus",$B18,"-2",1000001,"-2","Alle","-2","foerderung")/1000000</f>
        <v>5385.3913226900395</v>
      </c>
      <c r="U18" s="228">
        <f ca="1">_xll.PALO.DATAC("jedoxtest/EU_PM_CUBE02","EUPM_Mittel2_Cube",Datenstand,"Alle Beteiligungen","Alle Koordinatoren","Alle Unternehmensgrößen","-2","Alle Organisationstypen",28,"Alle Expertevaluierungsstatus",$B18,"-2",1,"-2","Alle","-2","foerderung")/1000000</f>
        <v>153.95113197000001</v>
      </c>
      <c r="V18" s="224">
        <f ca="1">IFERROR(_xll.PALO.DATAC("jedoxtest/EU_PM_CUBE02","EUPM_Mittel2_Cube",Datenstand,"Alle Beteiligungen","Alle Koordinatoren","Alle Unternehmensgrößen","-2","Alle Organisationstypen",28,"Alle Expertevaluierungsstatus",$B18,"-2",1,"-2","Alle","-2","foerderung")/_xll.PALO.DATAC("jedoxtest/EU_PM_CUBE02","EUPM_Mittel2_Cube",Datenstand,"Alle Beteiligungen","Alle Koordinatoren","Alle Unternehmensgrößen","-2","Alle Organisationstypen",28,"Alle Expertevaluierungsstatus",$B18,"-2",-2,"-2","Alle","-2","foerderung"),"-  ")</f>
        <v>2.5355837186323182E-2</v>
      </c>
    </row>
    <row r="19" spans="1:22" ht="15" customHeight="1">
      <c r="B19" t="s">
        <v>151</v>
      </c>
      <c r="C19" s="361" t="str">
        <f ca="1">_xll.PALO.DATA("jedoxtest/EU_PM_CUBE02","#_Programme","Langbezeichnung",$B19)</f>
        <v>Innovative Europe</v>
      </c>
      <c r="D19" s="206">
        <f ca="1">_xll.PALO.DATAC("jedoxtest/EU_PM_CUBE02","EUPM_Mittel2_Cube",Datenstand,"Alle Beteiligungen","Alle Koordinatoren","Alle Unternehmensgrößen","-2","Alle Organisationstypen",5,"Alle Expertevaluierungsstatus",$B19,"-2","-2","-2","Alle","-2","anzahl_beteiligungen")</f>
        <v>71288</v>
      </c>
      <c r="E19" s="206">
        <f ca="1">_xll.PALO.DATAC("jedoxtest/EU_PM_CUBE02","EUPM_Mittel2_Cube",Datenstand,"Alle Beteiligungen","Alle Koordinatoren","Alle Unternehmensgrößen","-2","Alle Organisationstypen",5,"Alle Expertevaluierungsstatus",$B19,"-2",1000001,"-2","Alle","-2","anzahl_beteiligungen")</f>
        <v>59051</v>
      </c>
      <c r="F19" s="362">
        <f ca="1">_xll.PALO.DATAC("jedoxtest/EU_PM_CUBE02","EUPM_Mittel2_Cube",Datenstand,"Alle Beteiligungen","Alle Koordinatoren","Alle Unternehmensgrößen","-2","Alle Organisationstypen",5,"Alle Expertevaluierungsstatus",$B19,"-2",1,"-2","Alle","-2","anzahl_beteiligungen")</f>
        <v>1854</v>
      </c>
      <c r="G19" s="325">
        <f ca="1">IFERROR(_xll.PALO.DATAC("jedoxtest/EU_PM_CUBE02","EUPM_Mittel2_Cube",Datenstand,"Alle Beteiligungen","Alle Koordinatoren","Alle Unternehmensgrößen","-2","Alle Organisationstypen",5,"Alle Expertevaluierungsstatus",$B19,"-2",1,"-2","Alle","-2","anzahl_beteiligungen")/_xll.PALO.DATAC("jedoxtest/EU_PM_CUBE02","EUPM_Mittel2_Cube",Datenstand,"Alle Beteiligungen","Alle Koordinatoren","Alle Unternehmensgrößen","-2","Alle Organisationstypen",5,"Alle Expertevaluierungsstatus",$B19,"-2",-2,"-2","Alle","-2","anzahl_beteiligungen"),"-  ")</f>
        <v>2.600718213444058E-2</v>
      </c>
      <c r="H19" s="206">
        <f ca="1">_xll.PALO.DATAC("jedoxtest/EU_PM_CUBE02","EUPM_Mittel2_Cube",Datenstand,"Alle Beteiligungen","Alle Koordinatoren","Alle Unternehmensgrößen","-2","Alle Organisationstypen",28,"Alle Expertevaluierungsstatus",$B19,"-2","-2","-2","Alle","-2","anzahl_beteiligungen")</f>
        <v>6979</v>
      </c>
      <c r="I19" s="206">
        <f ca="1">_xll.PALO.DATAC("jedoxtest/EU_PM_CUBE02","EUPM_Mittel2_Cube",Datenstand,"Alle Beteiligungen","Alle Koordinatoren","Alle Unternehmensgrößen","-2","Alle Organisationstypen",28,"Alle Expertevaluierungsstatus",$B19,"-2",1000001,"-2","Alle","-2","anzahl_beteiligungen")</f>
        <v>5921</v>
      </c>
      <c r="J19" s="362">
        <f ca="1">_xll.PALO.DATAC("jedoxtest/EU_PM_CUBE02","EUPM_Mittel2_Cube",Datenstand,"Alle Beteiligungen","Alle Koordinatoren","Alle Unternehmensgrößen","-2","Alle Organisationstypen",28,"Alle Expertevaluierungsstatus",$B19,"-2",1,"-2","Alle","-2","anzahl_beteiligungen")</f>
        <v>169</v>
      </c>
      <c r="K19" s="325">
        <f ca="1">IFERROR(_xll.PALO.DATAC("jedoxtest/EU_PM_CUBE02","EUPM_Mittel2_Cube",Datenstand,"Alle Beteiligungen","Alle Koordinatoren","Alle Unternehmensgrößen","-2","Alle Organisationstypen",28,"Alle Expertevaluierungsstatus",$B19,"-2",1,"-2","Alle","-2","anzahl_beteiligungen")/_xll.PALO.DATAC("jedoxtest/EU_PM_CUBE02","EUPM_Mittel2_Cube",Datenstand,"Alle Beteiligungen","Alle Koordinatoren","Alle Unternehmensgrößen","-2","Alle Organisationstypen",28,"Alle Expertevaluierungsstatus",$B19,"-2",-2,"-2","Alle","-2","anzahl_beteiligungen"),"-  ")</f>
        <v>2.4215503653818599E-2</v>
      </c>
      <c r="L19" s="325">
        <f t="shared" ca="1" si="0"/>
        <v>9.7898664571877458E-2</v>
      </c>
      <c r="M19" s="325">
        <f t="shared" ca="1" si="1"/>
        <v>0.100269258776312</v>
      </c>
      <c r="N19" s="323">
        <f t="shared" ca="1" si="2"/>
        <v>9.1154261057173683E-2</v>
      </c>
      <c r="O19" s="206">
        <f ca="1">_xll.PALO.DATAC("jedoxtest/EU_PM_CUBE02","EUPM_Mittel2_Cube",Datenstand,"Alle Beteiligungen","Alle Koordinatoren","Alle Unternehmensgrößen","-2","Alle Organisationstypen",28,"Alle Expertevaluierungsstatus",$B19,"-2","-2","-2","Alle","-2","anzahl_koordinatoren")</f>
        <v>2670</v>
      </c>
      <c r="P19" s="206">
        <f ca="1">_xll.PALO.DATAC("jedoxtest/EU_PM_CUBE02","EUPM_Mittel2_Cube",Datenstand,"Alle Beteiligungen","Alle Koordinatoren","Alle Unternehmensgrößen","-2","Alle Organisationstypen",28,"Alle Expertevaluierungsstatus",$B19,"-2",1000001,"-2","Alle","-2","anzahl_koordinatoren")</f>
        <v>2186</v>
      </c>
      <c r="Q19" s="362">
        <f ca="1">_xll.PALO.DATAC("jedoxtest/EU_PM_CUBE02","EUPM_Mittel2_Cube",Datenstand,"Alle Beteiligungen","Alle Koordinatoren","Alle Unternehmensgrößen","-2","Alle Organisationstypen",28,"Alle Expertevaluierungsstatus",$B19,"-2",1,"-2","Alle","-2","anzahl_koordinatoren")</f>
        <v>59</v>
      </c>
      <c r="R19" s="325">
        <f ca="1">IFERROR(_xll.PALO.DATAC("jedoxtest/EU_PM_CUBE02","EUPM_Mittel2_Cube",Datenstand,"Alle Beteiligungen","Alle Koordinatoren","Alle Unternehmensgrößen","-2","Alle Organisationstypen",28,"Alle Expertevaluierungsstatus",$B19,"-2",1,"-2","Alle","-2","anzahl_koordinatoren")/_xll.PALO.DATAC("jedoxtest/EU_PM_CUBE02","EUPM_Mittel2_Cube",Datenstand,"Alle Beteiligungen","Alle Koordinatoren","Alle Unternehmensgrößen","-2","Alle Organisationstypen",28,"Alle Expertevaluierungsstatus",$B19,"-2",-2,"-2","Alle","-2","anzahl_koordinatoren"),"-  ")</f>
        <v>2.2097378277153558E-2</v>
      </c>
      <c r="S19" s="326">
        <f ca="1">_xll.PALO.DATAC("jedoxtest/EU_PM_CUBE02","EUPM_Mittel2_Cube",Datenstand,"Alle Beteiligungen","Alle Koordinatoren","Alle Unternehmensgrößen","-2","Alle Organisationstypen",28,"Alle Expertevaluierungsstatus",$B19,"-2","-2","-2","Alle","-2","foerderung")/1000000</f>
        <v>6418.8010401500105</v>
      </c>
      <c r="T19" s="326">
        <f ca="1">_xll.PALO.DATAC("jedoxtest/EU_PM_CUBE02","EUPM_Mittel2_Cube",Datenstand,"Alle Beteiligungen","Alle Koordinatoren","Alle Unternehmensgrößen","-2","Alle Organisationstypen",28,"Alle Expertevaluierungsstatus",$B19,"-2",1000001,"-2","Alle","-2","foerderung")/1000000</f>
        <v>5957.5896870900096</v>
      </c>
      <c r="U19" s="326">
        <f ca="1">_xll.PALO.DATAC("jedoxtest/EU_PM_CUBE02","EUPM_Mittel2_Cube",Datenstand,"Alle Beteiligungen","Alle Koordinatoren","Alle Unternehmensgrößen","-2","Alle Organisationstypen",28,"Alle Expertevaluierungsstatus",$B19,"-2",1,"-2","Alle","-2","foerderung")/1000000</f>
        <v>120.36075111</v>
      </c>
      <c r="V19" s="224">
        <f ca="1">IFERROR(_xll.PALO.DATAC("jedoxtest/EU_PM_CUBE02","EUPM_Mittel2_Cube",Datenstand,"Alle Beteiligungen","Alle Koordinatoren","Alle Unternehmensgrößen","-2","Alle Organisationstypen",28,"Alle Expertevaluierungsstatus",$B19,"-2",1,"-2","Alle","-2","foerderung")/_xll.PALO.DATAC("jedoxtest/EU_PM_CUBE02","EUPM_Mittel2_Cube",Datenstand,"Alle Beteiligungen","Alle Koordinatoren","Alle Unternehmensgrößen","-2","Alle Organisationstypen",28,"Alle Expertevaluierungsstatus",$B19,"-2",-2,"-2","Alle","-2","foerderung"),"-  ")</f>
        <v>1.8751282421302019E-2</v>
      </c>
    </row>
    <row r="20" spans="1:22" ht="15" customHeight="1">
      <c r="B20" t="s">
        <v>152</v>
      </c>
      <c r="C20" s="473" t="str">
        <f ca="1">_xll.PALO.DATA("jedoxtest/EU_PM_CUBE02","#_Programme","Langbezeichnung",$B20)</f>
        <v>The European Innovation Council (EIC)</v>
      </c>
      <c r="D20" s="226">
        <f ca="1">_xll.PALO.DATAC("jedoxtest/EU_PM_CUBE02","EUPM_Mittel2_Cube",Datenstand,"Alle Beteiligungen","Alle Koordinatoren","Alle Unternehmensgrößen","-2","Alle Organisationstypen",5,"Alle Expertevaluierungsstatus",$B20,"-2","-2","-2","Alle","-2","anzahl_beteiligungen")</f>
        <v>64241</v>
      </c>
      <c r="E20" s="226">
        <f ca="1">_xll.PALO.DATAC("jedoxtest/EU_PM_CUBE02","EUPM_Mittel2_Cube",Datenstand,"Alle Beteiligungen","Alle Koordinatoren","Alle Unternehmensgrößen","-2","Alle Organisationstypen",5,"Alle Expertevaluierungsstatus",$B20,"-2",1000001,"-2","Alle","-2","anzahl_beteiligungen")</f>
        <v>53146</v>
      </c>
      <c r="F20" s="230">
        <f ca="1">_xll.PALO.DATAC("jedoxtest/EU_PM_CUBE02","EUPM_Mittel2_Cube",Datenstand,"Alle Beteiligungen","Alle Koordinatoren","Alle Unternehmensgrößen","-2","Alle Organisationstypen",5,"Alle Expertevaluierungsstatus",$B20,"-2",1,"-2","Alle","-2","anzahl_beteiligungen")</f>
        <v>1707</v>
      </c>
      <c r="G20" s="227">
        <f ca="1">IFERROR(_xll.PALO.DATAC("jedoxtest/EU_PM_CUBE02","EUPM_Mittel2_Cube",Datenstand,"Alle Beteiligungen","Alle Koordinatoren","Alle Unternehmensgrößen","-2","Alle Organisationstypen",5,"Alle Expertevaluierungsstatus",$B20,"-2",1,"-2","Alle","-2","anzahl_beteiligungen")/_xll.PALO.DATAC("jedoxtest/EU_PM_CUBE02","EUPM_Mittel2_Cube",Datenstand,"Alle Beteiligungen","Alle Koordinatoren","Alle Unternehmensgrößen","-2","Alle Organisationstypen",5,"Alle Expertevaluierungsstatus",$B20,"-2",-2,"-2","Alle","-2","anzahl_beteiligungen"),"-  ")</f>
        <v>2.6571815507230586E-2</v>
      </c>
      <c r="H20" s="226">
        <f ca="1">_xll.PALO.DATAC("jedoxtest/EU_PM_CUBE02","EUPM_Mittel2_Cube",Datenstand,"Alle Beteiligungen","Alle Koordinatoren","Alle Unternehmensgrößen","-2","Alle Organisationstypen",28,"Alle Expertevaluierungsstatus",$B20,"-2","-2","-2","Alle","-2","anzahl_beteiligungen")</f>
        <v>5553</v>
      </c>
      <c r="I20" s="226">
        <f ca="1">_xll.PALO.DATAC("jedoxtest/EU_PM_CUBE02","EUPM_Mittel2_Cube",Datenstand,"Alle Beteiligungen","Alle Koordinatoren","Alle Unternehmensgrößen","-2","Alle Organisationstypen",28,"Alle Expertevaluierungsstatus",$B20,"-2",1000001,"-2","Alle","-2","anzahl_beteiligungen")</f>
        <v>4632</v>
      </c>
      <c r="J20" s="230">
        <f ca="1">_xll.PALO.DATAC("jedoxtest/EU_PM_CUBE02","EUPM_Mittel2_Cube",Datenstand,"Alle Beteiligungen","Alle Koordinatoren","Alle Unternehmensgrößen","-2","Alle Organisationstypen",28,"Alle Expertevaluierungsstatus",$B20,"-2",1,"-2","Alle","-2","anzahl_beteiligungen")</f>
        <v>142</v>
      </c>
      <c r="K20" s="227">
        <f ca="1">IFERROR(_xll.PALO.DATAC("jedoxtest/EU_PM_CUBE02","EUPM_Mittel2_Cube",Datenstand,"Alle Beteiligungen","Alle Koordinatoren","Alle Unternehmensgrößen","-2","Alle Organisationstypen",28,"Alle Expertevaluierungsstatus",$B20,"-2",1,"-2","Alle","-2","anzahl_beteiligungen")/_xll.PALO.DATAC("jedoxtest/EU_PM_CUBE02","EUPM_Mittel2_Cube",Datenstand,"Alle Beteiligungen","Alle Koordinatoren","Alle Unternehmensgrößen","-2","Alle Organisationstypen",28,"Alle Expertevaluierungsstatus",$B20,"-2",-2,"-2","Alle","-2","anzahl_beteiligungen"),"-  ")</f>
        <v>2.5571763010985054E-2</v>
      </c>
      <c r="L20" s="227">
        <f t="shared" ca="1" si="0"/>
        <v>8.6440123908407399E-2</v>
      </c>
      <c r="M20" s="227">
        <f t="shared" ca="1" si="1"/>
        <v>8.7156135927445144E-2</v>
      </c>
      <c r="N20" s="232">
        <f t="shared" ca="1" si="2"/>
        <v>8.3186877562975978E-2</v>
      </c>
      <c r="O20" s="226">
        <f ca="1">_xll.PALO.DATAC("jedoxtest/EU_PM_CUBE02","EUPM_Mittel2_Cube",Datenstand,"Alle Beteiligungen","Alle Koordinatoren","Alle Unternehmensgrößen","-2","Alle Organisationstypen",28,"Alle Expertevaluierungsstatus",$B20,"-2","-2","-2","Alle","-2","anzahl_koordinatoren")</f>
        <v>2353</v>
      </c>
      <c r="P20" s="226">
        <f ca="1">_xll.PALO.DATAC("jedoxtest/EU_PM_CUBE02","EUPM_Mittel2_Cube",Datenstand,"Alle Beteiligungen","Alle Koordinatoren","Alle Unternehmensgrößen","-2","Alle Organisationstypen",28,"Alle Expertevaluierungsstatus",$B20,"-2",1000001,"-2","Alle","-2","anzahl_koordinatoren")</f>
        <v>1902</v>
      </c>
      <c r="Q20" s="230">
        <f ca="1">_xll.PALO.DATAC("jedoxtest/EU_PM_CUBE02","EUPM_Mittel2_Cube",Datenstand,"Alle Beteiligungen","Alle Koordinatoren","Alle Unternehmensgrößen","-2","Alle Organisationstypen",28,"Alle Expertevaluierungsstatus",$B20,"-2",1,"-2","Alle","-2","anzahl_koordinatoren")</f>
        <v>53</v>
      </c>
      <c r="R20" s="227">
        <f ca="1">IFERROR(_xll.PALO.DATAC("jedoxtest/EU_PM_CUBE02","EUPM_Mittel2_Cube",Datenstand,"Alle Beteiligungen","Alle Koordinatoren","Alle Unternehmensgrößen","-2","Alle Organisationstypen",28,"Alle Expertevaluierungsstatus",$B20,"-2",1,"-2","Alle","-2","anzahl_koordinatoren")/_xll.PALO.DATAC("jedoxtest/EU_PM_CUBE02","EUPM_Mittel2_Cube",Datenstand,"Alle Beteiligungen","Alle Koordinatoren","Alle Unternehmensgrößen","-2","Alle Organisationstypen",28,"Alle Expertevaluierungsstatus",$B20,"-2",-2,"-2","Alle","-2","anzahl_koordinatoren"),"-  ")</f>
        <v>2.2524436889077772E-2</v>
      </c>
      <c r="S20" s="228">
        <f ca="1">_xll.PALO.DATAC("jedoxtest/EU_PM_CUBE02","EUPM_Mittel2_Cube",Datenstand,"Alle Beteiligungen","Alle Koordinatoren","Alle Unternehmensgrößen","-2","Alle Organisationstypen",28,"Alle Expertevaluierungsstatus",$B20,"-2","-2","-2","Alle","-2","foerderung")/1000000</f>
        <v>4118.31582927001</v>
      </c>
      <c r="T20" s="228">
        <f ca="1">_xll.PALO.DATAC("jedoxtest/EU_PM_CUBE02","EUPM_Mittel2_Cube",Datenstand,"Alle Beteiligungen","Alle Koordinatoren","Alle Unternehmensgrößen","-2","Alle Organisationstypen",28,"Alle Expertevaluierungsstatus",$B20,"-2",1000001,"-2","Alle","-2","foerderung")/1000000</f>
        <v>3763.76083892</v>
      </c>
      <c r="U20" s="228">
        <f ca="1">_xll.PALO.DATAC("jedoxtest/EU_PM_CUBE02","EUPM_Mittel2_Cube",Datenstand,"Alle Beteiligungen","Alle Koordinatoren","Alle Unternehmensgrößen","-2","Alle Organisationstypen",28,"Alle Expertevaluierungsstatus",$B20,"-2",1,"-2","Alle","-2","foerderung")/1000000</f>
        <v>99.670759390000001</v>
      </c>
      <c r="V20" s="224">
        <f ca="1">IFERROR(_xll.PALO.DATAC("jedoxtest/EU_PM_CUBE02","EUPM_Mittel2_Cube",Datenstand,"Alle Beteiligungen","Alle Koordinatoren","Alle Unternehmensgrößen","-2","Alle Organisationstypen",28,"Alle Expertevaluierungsstatus",$B20,"-2",1,"-2","Alle","-2","foerderung")/_xll.PALO.DATAC("jedoxtest/EU_PM_CUBE02","EUPM_Mittel2_Cube",Datenstand,"Alle Beteiligungen","Alle Koordinatoren","Alle Unternehmensgrößen","-2","Alle Organisationstypen",28,"Alle Expertevaluierungsstatus",$B20,"-2",-2,"-2","Alle","-2","foerderung"),"-  ")</f>
        <v>2.4201825095980338E-2</v>
      </c>
    </row>
    <row r="21" spans="1:22" ht="15" customHeight="1">
      <c r="B21" t="s">
        <v>153</v>
      </c>
      <c r="C21" s="473" t="str">
        <f ca="1">_xll.PALO.DATA("jedoxtest/EU_PM_CUBE02","#_Programme","Langbezeichnung",$B21)</f>
        <v>European innovation ecosystems</v>
      </c>
      <c r="D21" s="226">
        <f ca="1">_xll.PALO.DATAC("jedoxtest/EU_PM_CUBE02","EUPM_Mittel2_Cube",Datenstand,"Alle Beteiligungen","Alle Koordinatoren","Alle Unternehmensgrößen","-2","Alle Organisationstypen",5,"Alle Expertevaluierungsstatus",$B21,"-2","-2","-2","Alle","-2","anzahl_beteiligungen")</f>
        <v>6726</v>
      </c>
      <c r="E21" s="226">
        <f ca="1">_xll.PALO.DATAC("jedoxtest/EU_PM_CUBE02","EUPM_Mittel2_Cube",Datenstand,"Alle Beteiligungen","Alle Koordinatoren","Alle Unternehmensgrößen","-2","Alle Organisationstypen",5,"Alle Expertevaluierungsstatus",$B21,"-2",1000001,"-2","Alle","-2","anzahl_beteiligungen")</f>
        <v>5604</v>
      </c>
      <c r="F21" s="230">
        <f ca="1">_xll.PALO.DATAC("jedoxtest/EU_PM_CUBE02","EUPM_Mittel2_Cube",Datenstand,"Alle Beteiligungen","Alle Koordinatoren","Alle Unternehmensgrößen","-2","Alle Organisationstypen",5,"Alle Expertevaluierungsstatus",$B21,"-2",1,"-2","Alle","-2","anzahl_beteiligungen")</f>
        <v>139</v>
      </c>
      <c r="G21" s="227">
        <f ca="1">IFERROR(_xll.PALO.DATAC("jedoxtest/EU_PM_CUBE02","EUPM_Mittel2_Cube",Datenstand,"Alle Beteiligungen","Alle Koordinatoren","Alle Unternehmensgrößen","-2","Alle Organisationstypen",5,"Alle Expertevaluierungsstatus",$B21,"-2",1,"-2","Alle","-2","anzahl_beteiligungen")/_xll.PALO.DATAC("jedoxtest/EU_PM_CUBE02","EUPM_Mittel2_Cube",Datenstand,"Alle Beteiligungen","Alle Koordinatoren","Alle Unternehmensgrößen","-2","Alle Organisationstypen",5,"Alle Expertevaluierungsstatus",$B21,"-2",-2,"-2","Alle","-2","anzahl_beteiligungen"),"-  ")</f>
        <v>2.0666071959559915E-2</v>
      </c>
      <c r="H21" s="226">
        <f ca="1">_xll.PALO.DATAC("jedoxtest/EU_PM_CUBE02","EUPM_Mittel2_Cube",Datenstand,"Alle Beteiligungen","Alle Koordinatoren","Alle Unternehmensgrößen","-2","Alle Organisationstypen",28,"Alle Expertevaluierungsstatus",$B21,"-2","-2","-2","Alle","-2","anzahl_beteiligungen")</f>
        <v>1124</v>
      </c>
      <c r="I21" s="226">
        <f ca="1">_xll.PALO.DATAC("jedoxtest/EU_PM_CUBE02","EUPM_Mittel2_Cube",Datenstand,"Alle Beteiligungen","Alle Koordinatoren","Alle Unternehmensgrößen","-2","Alle Organisationstypen",28,"Alle Expertevaluierungsstatus",$B21,"-2",1000001,"-2","Alle","-2","anzahl_beteiligungen")</f>
        <v>1006</v>
      </c>
      <c r="J21" s="230">
        <f ca="1">_xll.PALO.DATAC("jedoxtest/EU_PM_CUBE02","EUPM_Mittel2_Cube",Datenstand,"Alle Beteiligungen","Alle Koordinatoren","Alle Unternehmensgrößen","-2","Alle Organisationstypen",28,"Alle Expertevaluierungsstatus",$B21,"-2",1,"-2","Alle","-2","anzahl_beteiligungen")</f>
        <v>19</v>
      </c>
      <c r="K21" s="227">
        <f ca="1">IFERROR(_xll.PALO.DATAC("jedoxtest/EU_PM_CUBE02","EUPM_Mittel2_Cube",Datenstand,"Alle Beteiligungen","Alle Koordinatoren","Alle Unternehmensgrößen","-2","Alle Organisationstypen",28,"Alle Expertevaluierungsstatus",$B21,"-2",1,"-2","Alle","-2","anzahl_beteiligungen")/_xll.PALO.DATAC("jedoxtest/EU_PM_CUBE02","EUPM_Mittel2_Cube",Datenstand,"Alle Beteiligungen","Alle Koordinatoren","Alle Unternehmensgrößen","-2","Alle Organisationstypen",28,"Alle Expertevaluierungsstatus",$B21,"-2",-2,"-2","Alle","-2","anzahl_beteiligungen"),"-  ")</f>
        <v>1.6903914590747332E-2</v>
      </c>
      <c r="L21" s="227">
        <f t="shared" ca="1" si="0"/>
        <v>0.16711269699672912</v>
      </c>
      <c r="M21" s="227">
        <f t="shared" ca="1" si="1"/>
        <v>0.1795146324054247</v>
      </c>
      <c r="N21" s="232">
        <f t="shared" ca="1" si="2"/>
        <v>0.1366906474820144</v>
      </c>
      <c r="O21" s="226">
        <f ca="1">_xll.PALO.DATAC("jedoxtest/EU_PM_CUBE02","EUPM_Mittel2_Cube",Datenstand,"Alle Beteiligungen","Alle Koordinatoren","Alle Unternehmensgrößen","-2","Alle Organisationstypen",28,"Alle Expertevaluierungsstatus",$B21,"-2","-2","-2","Alle","-2","anzahl_koordinatoren")</f>
        <v>284</v>
      </c>
      <c r="P21" s="226">
        <f ca="1">_xll.PALO.DATAC("jedoxtest/EU_PM_CUBE02","EUPM_Mittel2_Cube",Datenstand,"Alle Beteiligungen","Alle Koordinatoren","Alle Unternehmensgrößen","-2","Alle Organisationstypen",28,"Alle Expertevaluierungsstatus",$B21,"-2",1000001,"-2","Alle","-2","anzahl_koordinatoren")</f>
        <v>251</v>
      </c>
      <c r="Q21" s="230">
        <f ca="1">_xll.PALO.DATAC("jedoxtest/EU_PM_CUBE02","EUPM_Mittel2_Cube",Datenstand,"Alle Beteiligungen","Alle Koordinatoren","Alle Unternehmensgrößen","-2","Alle Organisationstypen",28,"Alle Expertevaluierungsstatus",$B21,"-2",1,"-2","Alle","-2","anzahl_koordinatoren")</f>
        <v>6</v>
      </c>
      <c r="R21" s="227">
        <f ca="1">IFERROR(_xll.PALO.DATAC("jedoxtest/EU_PM_CUBE02","EUPM_Mittel2_Cube",Datenstand,"Alle Beteiligungen","Alle Koordinatoren","Alle Unternehmensgrößen","-2","Alle Organisationstypen",28,"Alle Expertevaluierungsstatus",$B21,"-2",1,"-2","Alle","-2","anzahl_koordinatoren")/_xll.PALO.DATAC("jedoxtest/EU_PM_CUBE02","EUPM_Mittel2_Cube",Datenstand,"Alle Beteiligungen","Alle Koordinatoren","Alle Unternehmensgrößen","-2","Alle Organisationstypen",28,"Alle Expertevaluierungsstatus",$B21,"-2",-2,"-2","Alle","-2","anzahl_koordinatoren"),"-  ")</f>
        <v>2.1126760563380281E-2</v>
      </c>
      <c r="S21" s="228">
        <f ca="1">_xll.PALO.DATAC("jedoxtest/EU_PM_CUBE02","EUPM_Mittel2_Cube",Datenstand,"Alle Beteiligungen","Alle Koordinatoren","Alle Unternehmensgrößen","-2","Alle Organisationstypen",28,"Alle Expertevaluierungsstatus",$B21,"-2","-2","-2","Alle","-2","foerderung")/1000000</f>
        <v>609.72870828999999</v>
      </c>
      <c r="T21" s="228">
        <f ca="1">_xll.PALO.DATAC("jedoxtest/EU_PM_CUBE02","EUPM_Mittel2_Cube",Datenstand,"Alle Beteiligungen","Alle Koordinatoren","Alle Unternehmensgrößen","-2","Alle Organisationstypen",28,"Alle Expertevaluierungsstatus",$B21,"-2",1000001,"-2","Alle","-2","foerderung")/1000000</f>
        <v>507.48817382999999</v>
      </c>
      <c r="U21" s="228">
        <f ca="1">_xll.PALO.DATAC("jedoxtest/EU_PM_CUBE02","EUPM_Mittel2_Cube",Datenstand,"Alle Beteiligungen","Alle Koordinatoren","Alle Unternehmensgrößen","-2","Alle Organisationstypen",28,"Alle Expertevaluierungsstatus",$B21,"-2",1,"-2","Alle","-2","foerderung")/1000000</f>
        <v>16.633048380000002</v>
      </c>
      <c r="V21" s="224">
        <f ca="1">IFERROR(_xll.PALO.DATAC("jedoxtest/EU_PM_CUBE02","EUPM_Mittel2_Cube",Datenstand,"Alle Beteiligungen","Alle Koordinatoren","Alle Unternehmensgrößen","-2","Alle Organisationstypen",28,"Alle Expertevaluierungsstatus",$B21,"-2",1,"-2","Alle","-2","foerderung")/_xll.PALO.DATAC("jedoxtest/EU_PM_CUBE02","EUPM_Mittel2_Cube",Datenstand,"Alle Beteiligungen","Alle Koordinatoren","Alle Unternehmensgrößen","-2","Alle Organisationstypen",28,"Alle Expertevaluierungsstatus",$B21,"-2",-2,"-2","Alle","-2","foerderung"),"-  ")</f>
        <v>2.7279424691430094E-2</v>
      </c>
    </row>
    <row r="22" spans="1:22" ht="15" customHeight="1">
      <c r="B22" t="s">
        <v>154</v>
      </c>
      <c r="C22" s="473"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Organisationstypen",5,"Alle Expertevaluierungsstatus",$B22,"-2","-2","-2","Alle","-2","anzahl_beteiligungen")</f>
        <v>321</v>
      </c>
      <c r="E22" s="226">
        <f ca="1">_xll.PALO.DATAC("jedoxtest/EU_PM_CUBE02","EUPM_Mittel2_Cube",Datenstand,"Alle Beteiligungen","Alle Koordinatoren","Alle Unternehmensgrößen","-2","Alle Organisationstypen",5,"Alle Expertevaluierungsstatus",$B22,"-2",1000001,"-2","Alle","-2","anzahl_beteiligungen")</f>
        <v>301</v>
      </c>
      <c r="F22" s="230">
        <f ca="1">_xll.PALO.DATAC("jedoxtest/EU_PM_CUBE02","EUPM_Mittel2_Cube",Datenstand,"Alle Beteiligungen","Alle Koordinatoren","Alle Unternehmensgrößen","-2","Alle Organisationstypen",5,"Alle Expertevaluierungsstatus",$B22,"-2",1,"-2","Alle","-2","anzahl_beteiligungen")</f>
        <v>8</v>
      </c>
      <c r="G22" s="227">
        <f ca="1">IFERROR(_xll.PALO.DATAC("jedoxtest/EU_PM_CUBE02","EUPM_Mittel2_Cube",Datenstand,"Alle Beteiligungen","Alle Koordinatoren","Alle Unternehmensgrößen","-2","Alle Organisationstypen",5,"Alle Expertevaluierungsstatus",$B22,"-2",1,"-2","Alle","-2","anzahl_beteiligungen")/_xll.PALO.DATAC("jedoxtest/EU_PM_CUBE02","EUPM_Mittel2_Cube",Datenstand,"Alle Beteiligungen","Alle Koordinatoren","Alle Unternehmensgrößen","-2","Alle Organisationstypen",5,"Alle Expertevaluierungsstatus",$B22,"-2",-2,"-2","Alle","-2","anzahl_beteiligungen"),"-  ")</f>
        <v>2.4922118380062305E-2</v>
      </c>
      <c r="H22" s="226">
        <f ca="1">_xll.PALO.DATAC("jedoxtest/EU_PM_CUBE02","EUPM_Mittel2_Cube",Datenstand,"Alle Beteiligungen","Alle Koordinatoren","Alle Unternehmensgrößen","-2","Alle Organisationstypen",28,"Alle Expertevaluierungsstatus",$B22,"-2","-2","-2","Alle","-2","anzahl_beteiligungen")</f>
        <v>302</v>
      </c>
      <c r="I22" s="226">
        <f ca="1">_xll.PALO.DATAC("jedoxtest/EU_PM_CUBE02","EUPM_Mittel2_Cube",Datenstand,"Alle Beteiligungen","Alle Koordinatoren","Alle Unternehmensgrößen","-2","Alle Organisationstypen",28,"Alle Expertevaluierungsstatus",$B22,"-2",1000001,"-2","Alle","-2","anzahl_beteiligungen")</f>
        <v>283</v>
      </c>
      <c r="J22" s="230">
        <f ca="1">_xll.PALO.DATAC("jedoxtest/EU_PM_CUBE02","EUPM_Mittel2_Cube",Datenstand,"Alle Beteiligungen","Alle Koordinatoren","Alle Unternehmensgrößen","-2","Alle Organisationstypen",28,"Alle Expertevaluierungsstatus",$B22,"-2",1,"-2","Alle","-2","anzahl_beteiligungen")</f>
        <v>8</v>
      </c>
      <c r="K22" s="227">
        <f ca="1">IFERROR(_xll.PALO.DATAC("jedoxtest/EU_PM_CUBE02","EUPM_Mittel2_Cube",Datenstand,"Alle Beteiligungen","Alle Koordinatoren","Alle Unternehmensgrößen","-2","Alle Organisationstypen",28,"Alle Expertevaluierungsstatus",$B22,"-2",1,"-2","Alle","-2","anzahl_beteiligungen")/_xll.PALO.DATAC("jedoxtest/EU_PM_CUBE02","EUPM_Mittel2_Cube",Datenstand,"Alle Beteiligungen","Alle Koordinatoren","Alle Unternehmensgrößen","-2","Alle Organisationstypen",28,"Alle Expertevaluierungsstatus",$B22,"-2",-2,"-2","Alle","-2","anzahl_beteiligungen"),"-  ")</f>
        <v>2.6490066225165563E-2</v>
      </c>
      <c r="L22" s="227">
        <f t="shared" ca="1" si="0"/>
        <v>0.94080996884735202</v>
      </c>
      <c r="M22" s="227">
        <f t="shared" ca="1" si="1"/>
        <v>0.94019933554817281</v>
      </c>
      <c r="N22" s="232">
        <f t="shared" ca="1" si="2"/>
        <v>1</v>
      </c>
      <c r="O22" s="226">
        <f ca="1">_xll.PALO.DATAC("jedoxtest/EU_PM_CUBE02","EUPM_Mittel2_Cube",Datenstand,"Alle Beteiligungen","Alle Koordinatoren","Alle Unternehmensgrößen","-2","Alle Organisationstypen",28,"Alle Expertevaluierungsstatus",$B22,"-2","-2","-2","Alle","-2","anzahl_koordinatoren")</f>
        <v>33</v>
      </c>
      <c r="P22" s="226">
        <f ca="1">_xll.PALO.DATAC("jedoxtest/EU_PM_CUBE02","EUPM_Mittel2_Cube",Datenstand,"Alle Beteiligungen","Alle Koordinatoren","Alle Unternehmensgrößen","-2","Alle Organisationstypen",28,"Alle Expertevaluierungsstatus",$B22,"-2",1000001,"-2","Alle","-2","anzahl_koordinatoren")</f>
        <v>33</v>
      </c>
      <c r="Q22" s="230">
        <f ca="1">_xll.PALO.DATAC("jedoxtest/EU_PM_CUBE02","EUPM_Mittel2_Cube",Datenstand,"Alle Beteiligungen","Alle Koordinatoren","Alle Unternehmensgrößen","-2","Alle Organisationstypen",28,"Alle Expertevaluierungsstatus",$B22,"-2",1,"-2","Alle","-2","anzahl_koordinatoren")</f>
        <v>0</v>
      </c>
      <c r="R22" s="227">
        <f ca="1">IFERROR(_xll.PALO.DATAC("jedoxtest/EU_PM_CUBE02","EUPM_Mittel2_Cube",Datenstand,"Alle Beteiligungen","Alle Koordinatoren","Alle Unternehmensgrößen","-2","Alle Organisationstypen",28,"Alle Expertevaluierungsstatus",$B22,"-2",1,"-2","Alle","-2","anzahl_koordinatoren")/_xll.PALO.DATAC("jedoxtest/EU_PM_CUBE02","EUPM_Mittel2_Cube",Datenstand,"Alle Beteiligungen","Alle Koordinatoren","Alle Unternehmensgrößen","-2","Alle Organisationstypen",28,"Alle Expertevaluierungsstatus",$B22,"-2",-2,"-2","Alle","-2","anzahl_koordinatoren"),"-  ")</f>
        <v>0</v>
      </c>
      <c r="S22" s="228">
        <f ca="1">_xll.PALO.DATAC("jedoxtest/EU_PM_CUBE02","EUPM_Mittel2_Cube",Datenstand,"Alle Beteiligungen","Alle Koordinatoren","Alle Unternehmensgrößen","-2","Alle Organisationstypen",28,"Alle Expertevaluierungsstatus",$B22,"-2","-2","-2","Alle","-2","foerderung")/1000000</f>
        <v>1690.7565025899999</v>
      </c>
      <c r="T22" s="228">
        <f ca="1">_xll.PALO.DATAC("jedoxtest/EU_PM_CUBE02","EUPM_Mittel2_Cube",Datenstand,"Alle Beteiligungen","Alle Koordinatoren","Alle Unternehmensgrößen","-2","Alle Organisationstypen",28,"Alle Expertevaluierungsstatus",$B22,"-2",1000001,"-2","Alle","-2","foerderung")/1000000</f>
        <v>1686.3406743399999</v>
      </c>
      <c r="U22" s="228">
        <f ca="1">_xll.PALO.DATAC("jedoxtest/EU_PM_CUBE02","EUPM_Mittel2_Cube",Datenstand,"Alle Beteiligungen","Alle Koordinatoren","Alle Unternehmensgrößen","-2","Alle Organisationstypen",28,"Alle Expertevaluierungsstatus",$B22,"-2",1,"-2","Alle","-2","foerderung")/1000000</f>
        <v>4.0569433400000001</v>
      </c>
      <c r="V22" s="224">
        <f ca="1">IFERROR(_xll.PALO.DATAC("jedoxtest/EU_PM_CUBE02","EUPM_Mittel2_Cube",Datenstand,"Alle Beteiligungen","Alle Koordinatoren","Alle Unternehmensgrößen","-2","Alle Organisationstypen",28,"Alle Expertevaluierungsstatus",$B22,"-2",1,"-2","Alle","-2","foerderung")/_xll.PALO.DATAC("jedoxtest/EU_PM_CUBE02","EUPM_Mittel2_Cube",Datenstand,"Alle Beteiligungen","Alle Koordinatoren","Alle Unternehmensgrößen","-2","Alle Organisationstypen",28,"Alle Expertevaluierungsstatus",$B22,"-2",-2,"-2","Alle","-2","foerderung"),"-  ")</f>
        <v>2.3994840970804113E-3</v>
      </c>
    </row>
    <row r="23" spans="1:22" ht="33" customHeight="1">
      <c r="B23" t="s">
        <v>155</v>
      </c>
      <c r="C23" s="361" t="str">
        <f ca="1">_xll.PALO.DATA("jedoxtest/EU_PM_CUBE02","#_Programme","Langbezeichnung",$B23)</f>
        <v>Widening Participation and Strengthening the European Research Area</v>
      </c>
      <c r="D23" s="206">
        <f ca="1">_xll.PALO.DATAC("jedoxtest/EU_PM_CUBE02","EUPM_Mittel2_Cube",Datenstand,"Alle Beteiligungen","Alle Koordinatoren","Alle Unternehmensgrößen","-2","Alle Organisationstypen",5,"Alle Expertevaluierungsstatus",$B23,"-2","-2","-2","Alle","-2","anzahl_beteiligungen")</f>
        <v>25362</v>
      </c>
      <c r="E23" s="206">
        <f ca="1">_xll.PALO.DATAC("jedoxtest/EU_PM_CUBE02","EUPM_Mittel2_Cube",Datenstand,"Alle Beteiligungen","Alle Koordinatoren","Alle Unternehmensgrößen","-2","Alle Organisationstypen",5,"Alle Expertevaluierungsstatus",$B23,"-2",1000001,"-2","Alle","-2","anzahl_beteiligungen")</f>
        <v>20494</v>
      </c>
      <c r="F23" s="362">
        <f ca="1">_xll.PALO.DATAC("jedoxtest/EU_PM_CUBE02","EUPM_Mittel2_Cube",Datenstand,"Alle Beteiligungen","Alle Koordinatoren","Alle Unternehmensgrößen","-2","Alle Organisationstypen",5,"Alle Expertevaluierungsstatus",$B23,"-2",1,"-2","Alle","-2","anzahl_beteiligungen")</f>
        <v>520</v>
      </c>
      <c r="G23" s="325">
        <f ca="1">IFERROR(_xll.PALO.DATAC("jedoxtest/EU_PM_CUBE02","EUPM_Mittel2_Cube",Datenstand,"Alle Beteiligungen","Alle Koordinatoren","Alle Unternehmensgrößen","-2","Alle Organisationstypen",5,"Alle Expertevaluierungsstatus",$B23,"-2",1,"-2","Alle","-2","anzahl_beteiligungen")/_xll.PALO.DATAC("jedoxtest/EU_PM_CUBE02","EUPM_Mittel2_Cube",Datenstand,"Alle Beteiligungen","Alle Koordinatoren","Alle Unternehmensgrößen","-2","Alle Organisationstypen",5,"Alle Expertevaluierungsstatus",$B23,"-2",-2,"-2","Alle","-2","anzahl_beteiligungen"),"-  ")</f>
        <v>2.0503114896301553E-2</v>
      </c>
      <c r="H23" s="206">
        <f ca="1">_xll.PALO.DATAC("jedoxtest/EU_PM_CUBE02","EUPM_Mittel2_Cube",Datenstand,"Alle Beteiligungen","Alle Koordinatoren","Alle Unternehmensgrößen","-2","Alle Organisationstypen",28,"Alle Expertevaluierungsstatus",$B23,"-2","-2","-2","Alle","-2","anzahl_beteiligungen")</f>
        <v>4850</v>
      </c>
      <c r="I23" s="206">
        <f ca="1">_xll.PALO.DATAC("jedoxtest/EU_PM_CUBE02","EUPM_Mittel2_Cube",Datenstand,"Alle Beteiligungen","Alle Koordinatoren","Alle Unternehmensgrößen","-2","Alle Organisationstypen",28,"Alle Expertevaluierungsstatus",$B23,"-2",1000001,"-2","Alle","-2","anzahl_beteiligungen")</f>
        <v>4034</v>
      </c>
      <c r="J23" s="362">
        <f ca="1">_xll.PALO.DATAC("jedoxtest/EU_PM_CUBE02","EUPM_Mittel2_Cube",Datenstand,"Alle Beteiligungen","Alle Koordinatoren","Alle Unternehmensgrößen","-2","Alle Organisationstypen",28,"Alle Expertevaluierungsstatus",$B23,"-2",1,"-2","Alle","-2","anzahl_beteiligungen")</f>
        <v>110</v>
      </c>
      <c r="K23" s="325">
        <f ca="1">IFERROR(_xll.PALO.DATAC("jedoxtest/EU_PM_CUBE02","EUPM_Mittel2_Cube",Datenstand,"Alle Beteiligungen","Alle Koordinatoren","Alle Unternehmensgrößen","-2","Alle Organisationstypen",28,"Alle Expertevaluierungsstatus",$B23,"-2",1,"-2","Alle","-2","anzahl_beteiligungen")/_xll.PALO.DATAC("jedoxtest/EU_PM_CUBE02","EUPM_Mittel2_Cube",Datenstand,"Alle Beteiligungen","Alle Koordinatoren","Alle Unternehmensgrößen","-2","Alle Organisationstypen",28,"Alle Expertevaluierungsstatus",$B23,"-2",-2,"-2","Alle","-2","anzahl_beteiligungen"),"-  ")</f>
        <v>2.268041237113402E-2</v>
      </c>
      <c r="L23" s="325">
        <f t="shared" ca="1" si="0"/>
        <v>0.19123097547512025</v>
      </c>
      <c r="M23" s="325">
        <f t="shared" ca="1" si="1"/>
        <v>0.19683809895579193</v>
      </c>
      <c r="N23" s="323">
        <f t="shared" ca="1" si="2"/>
        <v>0.21153846153846154</v>
      </c>
      <c r="O23" s="206">
        <f ca="1">_xll.PALO.DATAC("jedoxtest/EU_PM_CUBE02","EUPM_Mittel2_Cube",Datenstand,"Alle Beteiligungen","Alle Koordinatoren","Alle Unternehmensgrößen","-2","Alle Organisationstypen",28,"Alle Expertevaluierungsstatus",$B23,"-2","-2","-2","Alle","-2","anzahl_koordinatoren")</f>
        <v>1054</v>
      </c>
      <c r="P23" s="206">
        <f ca="1">_xll.PALO.DATAC("jedoxtest/EU_PM_CUBE02","EUPM_Mittel2_Cube",Datenstand,"Alle Beteiligungen","Alle Koordinatoren","Alle Unternehmensgrößen","-2","Alle Organisationstypen",28,"Alle Expertevaluierungsstatus",$B23,"-2",1000001,"-2","Alle","-2","anzahl_koordinatoren")</f>
        <v>920</v>
      </c>
      <c r="Q23" s="362">
        <f ca="1">_xll.PALO.DATAC("jedoxtest/EU_PM_CUBE02","EUPM_Mittel2_Cube",Datenstand,"Alle Beteiligungen","Alle Koordinatoren","Alle Unternehmensgrößen","-2","Alle Organisationstypen",28,"Alle Expertevaluierungsstatus",$B23,"-2",1,"-2","Alle","-2","anzahl_koordinatoren")</f>
        <v>18</v>
      </c>
      <c r="R23" s="325">
        <f ca="1">IFERROR(_xll.PALO.DATAC("jedoxtest/EU_PM_CUBE02","EUPM_Mittel2_Cube",Datenstand,"Alle Beteiligungen","Alle Koordinatoren","Alle Unternehmensgrößen","-2","Alle Organisationstypen",28,"Alle Expertevaluierungsstatus",$B23,"-2",1,"-2","Alle","-2","anzahl_koordinatoren")/_xll.PALO.DATAC("jedoxtest/EU_PM_CUBE02","EUPM_Mittel2_Cube",Datenstand,"Alle Beteiligungen","Alle Koordinatoren","Alle Unternehmensgrößen","-2","Alle Organisationstypen",28,"Alle Expertevaluierungsstatus",$B23,"-2",-2,"-2","Alle","-2","anzahl_koordinatoren"),"-  ")</f>
        <v>1.7077798861480076E-2</v>
      </c>
      <c r="S23" s="326">
        <f ca="1">_xll.PALO.DATAC("jedoxtest/EU_PM_CUBE02","EUPM_Mittel2_Cube",Datenstand,"Alle Beteiligungen","Alle Koordinatoren","Alle Unternehmensgrößen","-2","Alle Organisationstypen",28,"Alle Expertevaluierungsstatus",$B23,"-2","-2","-2","Alle","-2","foerderung")/1000000</f>
        <v>1889.13337032</v>
      </c>
      <c r="T23" s="326">
        <f ca="1">_xll.PALO.DATAC("jedoxtest/EU_PM_CUBE02","EUPM_Mittel2_Cube",Datenstand,"Alle Beteiligungen","Alle Koordinatoren","Alle Unternehmensgrößen","-2","Alle Organisationstypen",28,"Alle Expertevaluierungsstatus",$B23,"-2",1000001,"-2","Alle","-2","foerderung")/1000000</f>
        <v>1723.9713593499998</v>
      </c>
      <c r="U23" s="326">
        <f ca="1">_xll.PALO.DATAC("jedoxtest/EU_PM_CUBE02","EUPM_Mittel2_Cube",Datenstand,"Alle Beteiligungen","Alle Koordinatoren","Alle Unternehmensgrößen","-2","Alle Organisationstypen",28,"Alle Expertevaluierungsstatus",$B23,"-2",1,"-2","Alle","-2","foerderung")/1000000</f>
        <v>26.65581869</v>
      </c>
      <c r="V23" s="224">
        <f ca="1">IFERROR(_xll.PALO.DATAC("jedoxtest/EU_PM_CUBE02","EUPM_Mittel2_Cube",Datenstand,"Alle Beteiligungen","Alle Koordinatoren","Alle Unternehmensgrößen","-2","Alle Organisationstypen",28,"Alle Expertevaluierungsstatus",$B23,"-2",1,"-2","Alle","-2","foerderung")/_xll.PALO.DATAC("jedoxtest/EU_PM_CUBE02","EUPM_Mittel2_Cube",Datenstand,"Alle Beteiligungen","Alle Koordinatoren","Alle Unternehmensgrößen","-2","Alle Organisationstypen",28,"Alle Expertevaluierungsstatus",$B23,"-2",-2,"-2","Alle","-2","foerderung"),"-  ")</f>
        <v>1.4110077726002361E-2</v>
      </c>
    </row>
    <row r="24" spans="1:22" ht="31.5" customHeight="1">
      <c r="B24" t="s">
        <v>156</v>
      </c>
      <c r="C24" s="473"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Organisationstypen",5,"Alle Expertevaluierungsstatus",$B24,"-2","-2","-2","Alle","-2","anzahl_beteiligungen")</f>
        <v>20075</v>
      </c>
      <c r="E24" s="226">
        <f ca="1">_xll.PALO.DATAC("jedoxtest/EU_PM_CUBE02","EUPM_Mittel2_Cube",Datenstand,"Alle Beteiligungen","Alle Koordinatoren","Alle Unternehmensgrößen","-2","Alle Organisationstypen",5,"Alle Expertevaluierungsstatus",$B24,"-2",1000001,"-2","Alle","-2","anzahl_beteiligungen")</f>
        <v>16186</v>
      </c>
      <c r="F24" s="230">
        <f ca="1">_xll.PALO.DATAC("jedoxtest/EU_PM_CUBE02","EUPM_Mittel2_Cube",Datenstand,"Alle Beteiligungen","Alle Koordinatoren","Alle Unternehmensgrößen","-2","Alle Organisationstypen",5,"Alle Expertevaluierungsstatus",$B24,"-2",1,"-2","Alle","-2","anzahl_beteiligungen")</f>
        <v>364</v>
      </c>
      <c r="G24" s="227">
        <f ca="1">IFERROR(_xll.PALO.DATAC("jedoxtest/EU_PM_CUBE02","EUPM_Mittel2_Cube",Datenstand,"Alle Beteiligungen","Alle Koordinatoren","Alle Unternehmensgrößen","-2","Alle Organisationstypen",5,"Alle Expertevaluierungsstatus",$B24,"-2",1,"-2","Alle","-2","anzahl_beteiligungen")/_xll.PALO.DATAC("jedoxtest/EU_PM_CUBE02","EUPM_Mittel2_Cube",Datenstand,"Alle Beteiligungen","Alle Koordinatoren","Alle Unternehmensgrößen","-2","Alle Organisationstypen",5,"Alle Expertevaluierungsstatus",$B24,"-2",-2,"-2","Alle","-2","anzahl_beteiligungen"),"-  ")</f>
        <v>1.813200498132005E-2</v>
      </c>
      <c r="H24" s="226">
        <f ca="1">_xll.PALO.DATAC("jedoxtest/EU_PM_CUBE02","EUPM_Mittel2_Cube",Datenstand,"Alle Beteiligungen","Alle Koordinatoren","Alle Unternehmensgrößen","-2","Alle Organisationstypen",28,"Alle Expertevaluierungsstatus",$B24,"-2","-2","-2","Alle","-2","anzahl_beteiligungen")</f>
        <v>3226</v>
      </c>
      <c r="I24" s="226">
        <f ca="1">_xll.PALO.DATAC("jedoxtest/EU_PM_CUBE02","EUPM_Mittel2_Cube",Datenstand,"Alle Beteiligungen","Alle Koordinatoren","Alle Unternehmensgrößen","-2","Alle Organisationstypen",28,"Alle Expertevaluierungsstatus",$B24,"-2",1000001,"-2","Alle","-2","anzahl_beteiligungen")</f>
        <v>2693</v>
      </c>
      <c r="J24" s="230">
        <f ca="1">_xll.PALO.DATAC("jedoxtest/EU_PM_CUBE02","EUPM_Mittel2_Cube",Datenstand,"Alle Beteiligungen","Alle Koordinatoren","Alle Unternehmensgrößen","-2","Alle Organisationstypen",28,"Alle Expertevaluierungsstatus",$B24,"-2",1,"-2","Alle","-2","anzahl_beteiligungen")</f>
        <v>65</v>
      </c>
      <c r="K24" s="227">
        <f ca="1">IFERROR(_xll.PALO.DATAC("jedoxtest/EU_PM_CUBE02","EUPM_Mittel2_Cube",Datenstand,"Alle Beteiligungen","Alle Koordinatoren","Alle Unternehmensgrößen","-2","Alle Organisationstypen",28,"Alle Expertevaluierungsstatus",$B24,"-2",1,"-2","Alle","-2","anzahl_beteiligungen")/_xll.PALO.DATAC("jedoxtest/EU_PM_CUBE02","EUPM_Mittel2_Cube",Datenstand,"Alle Beteiligungen","Alle Koordinatoren","Alle Unternehmensgrößen","-2","Alle Organisationstypen",28,"Alle Expertevaluierungsstatus",$B24,"-2",-2,"-2","Alle","-2","anzahl_beteiligungen"),"-  ")</f>
        <v>2.0148791072535647E-2</v>
      </c>
      <c r="L24" s="227">
        <f t="shared" ca="1" si="0"/>
        <v>0.16069738480697385</v>
      </c>
      <c r="M24" s="227">
        <f t="shared" ca="1" si="1"/>
        <v>0.16637835166193007</v>
      </c>
      <c r="N24" s="232">
        <f t="shared" ca="1" si="2"/>
        <v>0.17857142857142858</v>
      </c>
      <c r="O24" s="226">
        <f ca="1">_xll.PALO.DATAC("jedoxtest/EU_PM_CUBE02","EUPM_Mittel2_Cube",Datenstand,"Alle Beteiligungen","Alle Koordinatoren","Alle Unternehmensgrößen","-2","Alle Organisationstypen",28,"Alle Expertevaluierungsstatus",$B24,"-2","-2","-2","Alle","-2","anzahl_koordinatoren")</f>
        <v>909</v>
      </c>
      <c r="P24" s="226">
        <f ca="1">_xll.PALO.DATAC("jedoxtest/EU_PM_CUBE02","EUPM_Mittel2_Cube",Datenstand,"Alle Beteiligungen","Alle Koordinatoren","Alle Unternehmensgrößen","-2","Alle Organisationstypen",28,"Alle Expertevaluierungsstatus",$B24,"-2",1000001,"-2","Alle","-2","anzahl_koordinatoren")</f>
        <v>786</v>
      </c>
      <c r="Q24" s="230">
        <f ca="1">_xll.PALO.DATAC("jedoxtest/EU_PM_CUBE02","EUPM_Mittel2_Cube",Datenstand,"Alle Beteiligungen","Alle Koordinatoren","Alle Unternehmensgrößen","-2","Alle Organisationstypen",28,"Alle Expertevaluierungsstatus",$B24,"-2",1,"-2","Alle","-2","anzahl_koordinatoren")</f>
        <v>13</v>
      </c>
      <c r="R24" s="227">
        <f ca="1">IFERROR(_xll.PALO.DATAC("jedoxtest/EU_PM_CUBE02","EUPM_Mittel2_Cube",Datenstand,"Alle Beteiligungen","Alle Koordinatoren","Alle Unternehmensgrößen","-2","Alle Organisationstypen",28,"Alle Expertevaluierungsstatus",$B24,"-2",1,"-2","Alle","-2","anzahl_koordinatoren")/_xll.PALO.DATAC("jedoxtest/EU_PM_CUBE02","EUPM_Mittel2_Cube",Datenstand,"Alle Beteiligungen","Alle Koordinatoren","Alle Unternehmensgrößen","-2","Alle Organisationstypen",28,"Alle Expertevaluierungsstatus",$B24,"-2",-2,"-2","Alle","-2","anzahl_koordinatoren"),"-  ")</f>
        <v>1.4301430143014302E-2</v>
      </c>
      <c r="S24" s="228">
        <f ca="1">_xll.PALO.DATAC("jedoxtest/EU_PM_CUBE02","EUPM_Mittel2_Cube",Datenstand,"Alle Beteiligungen","Alle Koordinatoren","Alle Unternehmensgrößen","-2","Alle Organisationstypen",28,"Alle Expertevaluierungsstatus",$B24,"-2","-2","-2","Alle","-2","foerderung")/1000000</f>
        <v>1602.97353051</v>
      </c>
      <c r="T24" s="228">
        <f ca="1">_xll.PALO.DATAC("jedoxtest/EU_PM_CUBE02","EUPM_Mittel2_Cube",Datenstand,"Alle Beteiligungen","Alle Koordinatoren","Alle Unternehmensgrößen","-2","Alle Organisationstypen",28,"Alle Expertevaluierungsstatus",$B24,"-2",1000001,"-2","Alle","-2","foerderung")/1000000</f>
        <v>1462.79859777</v>
      </c>
      <c r="U24" s="228">
        <f ca="1">_xll.PALO.DATAC("jedoxtest/EU_PM_CUBE02","EUPM_Mittel2_Cube",Datenstand,"Alle Beteiligungen","Alle Koordinatoren","Alle Unternehmensgrößen","-2","Alle Organisationstypen",28,"Alle Expertevaluierungsstatus",$B24,"-2",1,"-2","Alle","-2","foerderung")/1000000</f>
        <v>13.48491076</v>
      </c>
      <c r="V24" s="224">
        <f ca="1">IFERROR(_xll.PALO.DATAC("jedoxtest/EU_PM_CUBE02","EUPM_Mittel2_Cube",Datenstand,"Alle Beteiligungen","Alle Koordinatoren","Alle Unternehmensgrößen","-2","Alle Organisationstypen",28,"Alle Expertevaluierungsstatus",$B24,"-2",1,"-2","Alle","-2","foerderung")/_xll.PALO.DATAC("jedoxtest/EU_PM_CUBE02","EUPM_Mittel2_Cube",Datenstand,"Alle Beteiligungen","Alle Koordinatoren","Alle Unternehmensgrößen","-2","Alle Organisationstypen",28,"Alle Expertevaluierungsstatus",$B24,"-2",-2,"-2","Alle","-2","foerderung"),"-  ")</f>
        <v>8.4124350797668244E-3</v>
      </c>
    </row>
    <row r="25" spans="1:22" ht="31.5" customHeight="1">
      <c r="B25" t="s">
        <v>157</v>
      </c>
      <c r="C25" s="473"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Organisationstypen",5,"Alle Expertevaluierungsstatus",$B25,"-2","-2","-2","Alle","-2","anzahl_beteiligungen")</f>
        <v>5287</v>
      </c>
      <c r="E25" s="226">
        <f ca="1">_xll.PALO.DATAC("jedoxtest/EU_PM_CUBE02","EUPM_Mittel2_Cube",Datenstand,"Alle Beteiligungen","Alle Koordinatoren","Alle Unternehmensgrößen","-2","Alle Organisationstypen",5,"Alle Expertevaluierungsstatus",$B25,"-2",1000001,"-2","Alle","-2","anzahl_beteiligungen")</f>
        <v>4308</v>
      </c>
      <c r="F25" s="230">
        <f ca="1">_xll.PALO.DATAC("jedoxtest/EU_PM_CUBE02","EUPM_Mittel2_Cube",Datenstand,"Alle Beteiligungen","Alle Koordinatoren","Alle Unternehmensgrößen","-2","Alle Organisationstypen",5,"Alle Expertevaluierungsstatus",$B25,"-2",1,"-2","Alle","-2","anzahl_beteiligungen")</f>
        <v>156</v>
      </c>
      <c r="G25" s="227">
        <f ca="1">IFERROR(_xll.PALO.DATAC("jedoxtest/EU_PM_CUBE02","EUPM_Mittel2_Cube",Datenstand,"Alle Beteiligungen","Alle Koordinatoren","Alle Unternehmensgrößen","-2","Alle Organisationstypen",5,"Alle Expertevaluierungsstatus",$B25,"-2",1,"-2","Alle","-2","anzahl_beteiligungen")/_xll.PALO.DATAC("jedoxtest/EU_PM_CUBE02","EUPM_Mittel2_Cube",Datenstand,"Alle Beteiligungen","Alle Koordinatoren","Alle Unternehmensgrößen","-2","Alle Organisationstypen",5,"Alle Expertevaluierungsstatus",$B25,"-2",-2,"-2","Alle","-2","anzahl_beteiligungen"),"-  ")</f>
        <v>2.9506336296576507E-2</v>
      </c>
      <c r="H25" s="226">
        <f ca="1">_xll.PALO.DATAC("jedoxtest/EU_PM_CUBE02","EUPM_Mittel2_Cube",Datenstand,"Alle Beteiligungen","Alle Koordinatoren","Alle Unternehmensgrößen","-2","Alle Organisationstypen",28,"Alle Expertevaluierungsstatus",$B25,"-2","-2","-2","Alle","-2","anzahl_beteiligungen")</f>
        <v>1624</v>
      </c>
      <c r="I25" s="226">
        <f ca="1">_xll.PALO.DATAC("jedoxtest/EU_PM_CUBE02","EUPM_Mittel2_Cube",Datenstand,"Alle Beteiligungen","Alle Koordinatoren","Alle Unternehmensgrößen","-2","Alle Organisationstypen",28,"Alle Expertevaluierungsstatus",$B25,"-2",1000001,"-2","Alle","-2","anzahl_beteiligungen")</f>
        <v>1341</v>
      </c>
      <c r="J25" s="230">
        <f ca="1">_xll.PALO.DATAC("jedoxtest/EU_PM_CUBE02","EUPM_Mittel2_Cube",Datenstand,"Alle Beteiligungen","Alle Koordinatoren","Alle Unternehmensgrößen","-2","Alle Organisationstypen",28,"Alle Expertevaluierungsstatus",$B25,"-2",1,"-2","Alle","-2","anzahl_beteiligungen")</f>
        <v>45</v>
      </c>
      <c r="K25" s="227">
        <f ca="1">IFERROR(_xll.PALO.DATAC("jedoxtest/EU_PM_CUBE02","EUPM_Mittel2_Cube",Datenstand,"Alle Beteiligungen","Alle Koordinatoren","Alle Unternehmensgrößen","-2","Alle Organisationstypen",28,"Alle Expertevaluierungsstatus",$B25,"-2",1,"-2","Alle","-2","anzahl_beteiligungen")/_xll.PALO.DATAC("jedoxtest/EU_PM_CUBE02","EUPM_Mittel2_Cube",Datenstand,"Alle Beteiligungen","Alle Koordinatoren","Alle Unternehmensgrößen","-2","Alle Organisationstypen",28,"Alle Expertevaluierungsstatus",$B25,"-2",-2,"-2","Alle","-2","anzahl_beteiligungen"),"-  ")</f>
        <v>2.7709359605911331E-2</v>
      </c>
      <c r="L25" s="227">
        <f t="shared" ca="1" si="0"/>
        <v>0.30716852657461696</v>
      </c>
      <c r="M25" s="227">
        <f t="shared" ca="1" si="1"/>
        <v>0.31128133704735378</v>
      </c>
      <c r="N25" s="232">
        <f t="shared" ca="1" si="2"/>
        <v>0.28846153846153844</v>
      </c>
      <c r="O25" s="226">
        <f ca="1">_xll.PALO.DATAC("jedoxtest/EU_PM_CUBE02","EUPM_Mittel2_Cube",Datenstand,"Alle Beteiligungen","Alle Koordinatoren","Alle Unternehmensgrößen","-2","Alle Organisationstypen",28,"Alle Expertevaluierungsstatus",$B25,"-2","-2","-2","Alle","-2","anzahl_koordinatoren")</f>
        <v>145</v>
      </c>
      <c r="P25" s="226">
        <f ca="1">_xll.PALO.DATAC("jedoxtest/EU_PM_CUBE02","EUPM_Mittel2_Cube",Datenstand,"Alle Beteiligungen","Alle Koordinatoren","Alle Unternehmensgrößen","-2","Alle Organisationstypen",28,"Alle Expertevaluierungsstatus",$B25,"-2",1000001,"-2","Alle","-2","anzahl_koordinatoren")</f>
        <v>134</v>
      </c>
      <c r="Q25" s="230">
        <f ca="1">_xll.PALO.DATAC("jedoxtest/EU_PM_CUBE02","EUPM_Mittel2_Cube",Datenstand,"Alle Beteiligungen","Alle Koordinatoren","Alle Unternehmensgrößen","-2","Alle Organisationstypen",28,"Alle Expertevaluierungsstatus",$B25,"-2",1,"-2","Alle","-2","anzahl_koordinatoren")</f>
        <v>5</v>
      </c>
      <c r="R25" s="227">
        <f ca="1">IFERROR(_xll.PALO.DATAC("jedoxtest/EU_PM_CUBE02","EUPM_Mittel2_Cube",Datenstand,"Alle Beteiligungen","Alle Koordinatoren","Alle Unternehmensgrößen","-2","Alle Organisationstypen",28,"Alle Expertevaluierungsstatus",$B25,"-2",1,"-2","Alle","-2","anzahl_koordinatoren")/_xll.PALO.DATAC("jedoxtest/EU_PM_CUBE02","EUPM_Mittel2_Cube",Datenstand,"Alle Beteiligungen","Alle Koordinatoren","Alle Unternehmensgrößen","-2","Alle Organisationstypen",28,"Alle Expertevaluierungsstatus",$B25,"-2",-2,"-2","Alle","-2","anzahl_koordinatoren"),"-  ")</f>
        <v>3.4482758620689655E-2</v>
      </c>
      <c r="S25" s="228">
        <f ca="1">_xll.PALO.DATAC("jedoxtest/EU_PM_CUBE02","EUPM_Mittel2_Cube",Datenstand,"Alle Beteiligungen","Alle Koordinatoren","Alle Unternehmensgrößen","-2","Alle Organisationstypen",28,"Alle Expertevaluierungsstatus",$B25,"-2","-2","-2","Alle","-2","foerderung")/1000000</f>
        <v>286.15983980999999</v>
      </c>
      <c r="T25" s="228">
        <f ca="1">_xll.PALO.DATAC("jedoxtest/EU_PM_CUBE02","EUPM_Mittel2_Cube",Datenstand,"Alle Beteiligungen","Alle Koordinatoren","Alle Unternehmensgrößen","-2","Alle Organisationstypen",28,"Alle Expertevaluierungsstatus",$B25,"-2",1000001,"-2","Alle","-2","foerderung")/1000000</f>
        <v>261.17276157999999</v>
      </c>
      <c r="U25" s="228">
        <f ca="1">_xll.PALO.DATAC("jedoxtest/EU_PM_CUBE02","EUPM_Mittel2_Cube",Datenstand,"Alle Beteiligungen","Alle Koordinatoren","Alle Unternehmensgrößen","-2","Alle Organisationstypen",28,"Alle Expertevaluierungsstatus",$B25,"-2",1,"-2","Alle","-2","foerderung")/1000000</f>
        <v>13.17090793</v>
      </c>
      <c r="V25" s="224">
        <f ca="1">IFERROR(_xll.PALO.DATAC("jedoxtest/EU_PM_CUBE02","EUPM_Mittel2_Cube",Datenstand,"Alle Beteiligungen","Alle Koordinatoren","Alle Unternehmensgrößen","-2","Alle Organisationstypen",28,"Alle Expertevaluierungsstatus",$B25,"-2",1,"-2","Alle","-2","foerderung")/_xll.PALO.DATAC("jedoxtest/EU_PM_CUBE02","EUPM_Mittel2_Cube",Datenstand,"Alle Beteiligungen","Alle Koordinatoren","Alle Unternehmensgrößen","-2","Alle Organisationstypen",28,"Alle Expertevaluierungsstatus",$B25,"-2",-2,"-2","Alle","-2","foerderung"),"-  ")</f>
        <v>4.6026402372691483E-2</v>
      </c>
    </row>
    <row r="26" spans="1:22" ht="15" hidden="1" customHeight="1">
      <c r="B26" t="s">
        <v>158</v>
      </c>
      <c r="C26" s="369" t="str">
        <f ca="1">_xll.PALO.DATA("jedoxtest/EU_PM_CUBE02","#_Programme","Langbezeichnung",$B26)</f>
        <v>Euratom</v>
      </c>
      <c r="D26" s="363">
        <f ca="1">_xll.PALO.DATAC("jedoxtest/EU_PM_CUBE02","EUPM_Mittel2_Cube",Datenstand,"Alle Beteiligungen","Alle Koordinatoren","Alle Unternehmensgrößen","-2","Alle Organisationstypen",5,"Alle Expertevaluierungsstatus",$B26,"-2","-2","-2","Alle","-2","anzahl_beteiligungen")</f>
        <v>0</v>
      </c>
      <c r="E26" s="363">
        <f ca="1">_xll.PALO.DATAC("jedoxtest/EU_PM_CUBE02","EUPM_Mittel2_Cube",Datenstand,"Alle Beteiligungen","Alle Koordinatoren","Alle Unternehmensgrößen","-2","Alle Organisationstypen",5,"Alle Expertevaluierungsstatus",$B26,"-2",1000001,"-2","Alle","-2","anzahl_beteiligungen")</f>
        <v>0</v>
      </c>
      <c r="F26" s="364">
        <f ca="1">_xll.PALO.DATAC("jedoxtest/EU_PM_CUBE02","EUPM_Mittel2_Cube",Datenstand,"Alle Beteiligungen","Alle Koordinatoren","Alle Unternehmensgrößen","-2","Alle Organisationstypen",5,"Alle Expertevaluierungsstatus",$B26,"-2",1,"-2","Alle","-2","anzahl_beteiligungen")</f>
        <v>0</v>
      </c>
      <c r="G26" s="365" t="str">
        <f ca="1">IFERROR(_xll.PALO.DATAC("jedoxtest/EU_PM_CUBE02","EUPM_Mittel2_Cube",Datenstand,"Alle Beteiligungen","Alle Koordinatoren","Alle Unternehmensgrößen","-2","Alle Organisationstypen",5,"Alle Expertevaluierungsstatus",$B26,"-2",1,"-2","Alle","-2","anzahl_beteiligungen")/_xll.PALO.DATAC("jedoxtest/EU_PM_CUBE02","EUPM_Mittel2_Cube",Datenstand,"Alle Beteiligungen","Alle Koordinatoren","Alle Unternehmensgrößen","-2","Alle Organisationstypen",5,"Alle Expertevaluierungsstatus",$B26,"-2",-2,"-2","Alle","-2","anzahl_beteiligungen"),"-  ")</f>
        <v xml:space="preserve">-  </v>
      </c>
      <c r="H26" s="363">
        <f ca="1">_xll.PALO.DATAC("jedoxtest/EU_PM_CUBE02","EUPM_Mittel2_Cube",Datenstand,"Alle Beteiligungen","Alle Koordinatoren","Alle Unternehmensgrößen","-2","Alle Organisationstypen",28,"Alle Expertevaluierungsstatus",$B26,"-2","-2","-2","Alle","-2","anzahl_beteiligungen")</f>
        <v>0</v>
      </c>
      <c r="I26" s="363">
        <f ca="1">_xll.PALO.DATAC("jedoxtest/EU_PM_CUBE02","EUPM_Mittel2_Cube",Datenstand,"Alle Beteiligungen","Alle Koordinatoren","Alle Unternehmensgrößen","-2","Alle Organisationstypen",28,"Alle Expertevaluierungsstatus",$B26,"-2",1000001,"-2","Alle","-2","anzahl_beteiligungen")</f>
        <v>0</v>
      </c>
      <c r="J26" s="364">
        <f ca="1">_xll.PALO.DATAC("jedoxtest/EU_PM_CUBE02","EUPM_Mittel2_Cube",Datenstand,"Alle Beteiligungen","Alle Koordinatoren","Alle Unternehmensgrößen","-2","Alle Organisationstypen",28,"Alle Expertevaluierungsstatus",$B26,"-2",1,"-2","Alle","-2","anzahl_beteiligungen")</f>
        <v>0</v>
      </c>
      <c r="K26" s="365" t="str">
        <f ca="1">IFERROR(_xll.PALO.DATAC("jedoxtest/EU_PM_CUBE02","EUPM_Mittel2_Cube",Datenstand,"Alle Beteiligungen","Alle Koordinatoren","Alle Unternehmensgrößen","-2","Alle Organisationstypen",28,"Alle Expertevaluierungsstatus",$B26,"-2",1,"-2","Alle","-2","anzahl_beteiligungen")/_xll.PALO.DATAC("jedoxtest/EU_PM_CUBE02","EUPM_Mittel2_Cube",Datenstand,"Alle Beteiligungen","Alle Koordinatoren","Alle Unternehmensgrößen","-2","Alle Organisationstypen",28,"Alle Expertevaluierungsstatus",$B26,"-2",-2,"-2","Alle","-2","anzahl_beteiligungen"),"-  ")</f>
        <v xml:space="preserve">-  </v>
      </c>
      <c r="L26" s="365" t="str">
        <f t="shared" ca="1" si="0"/>
        <v xml:space="preserve">-   </v>
      </c>
      <c r="M26" s="365" t="str">
        <f t="shared" ca="1" si="1"/>
        <v xml:space="preserve">-   </v>
      </c>
      <c r="N26" s="366" t="str">
        <f t="shared" ca="1" si="2"/>
        <v xml:space="preserve">-   </v>
      </c>
      <c r="O26" s="363">
        <f ca="1">_xll.PALO.DATAC("jedoxtest/EU_PM_CUBE02","EUPM_Mittel2_Cube",Datenstand,"Alle Beteiligungen","Alle Koordinatoren","Alle Unternehmensgrößen","-2","Alle Organisationstypen",28,"Alle Expertevaluierungsstatus",$B26,"-2","-2","-2","Alle","-2","anzahl_koordinatoren")</f>
        <v>0</v>
      </c>
      <c r="P26" s="363">
        <f ca="1">_xll.PALO.DATAC("jedoxtest/EU_PM_CUBE02","EUPM_Mittel2_Cube",Datenstand,"Alle Beteiligungen","Alle Koordinatoren","Alle Unternehmensgrößen","-2","Alle Organisationstypen",28,"Alle Expertevaluierungsstatus",$B26,"-2",1000001,"-2","Alle","-2","anzahl_koordinatoren")</f>
        <v>0</v>
      </c>
      <c r="Q26" s="364">
        <f ca="1">_xll.PALO.DATAC("jedoxtest/EU_PM_CUBE02","EUPM_Mittel2_Cube",Datenstand,"Alle Beteiligungen","Alle Koordinatoren","Alle Unternehmensgrößen","-2","Alle Organisationstypen",28,"Alle Expertevaluierungsstatus",$B26,"-2",1,"-2","Alle","-2","anzahl_koordinatoren")</f>
        <v>0</v>
      </c>
      <c r="R26" s="365" t="str">
        <f ca="1">IFERROR(_xll.PALO.DATAC("jedoxtest/EU_PM_CUBE02","EUPM_Mittel2_Cube",Datenstand,"Alle Beteiligungen","Alle Koordinatoren","Alle Unternehmensgrößen","-2","Alle Organisationstypen",28,"Alle Expertevaluierungsstatus",$B26,"-2",1,"-2","Alle","-2","anzahl_koordinatoren")/_xll.PALO.DATAC("jedoxtest/EU_PM_CUBE02","EUPM_Mittel2_Cube",Datenstand,"Alle Beteiligungen","Alle Koordinatoren","Alle Unternehmensgrößen","-2","Alle Organisationstypen",28,"Alle Expertevaluierungsstatus",$B26,"-2",-2,"-2","Alle","-2","anzahl_koordinatoren"),"-  ")</f>
        <v xml:space="preserve">-  </v>
      </c>
      <c r="S26" s="367">
        <f ca="1">_xll.PALO.DATAC("jedoxtest/EU_PM_CUBE02","EUPM_Mittel2_Cube",Datenstand,"Alle Beteiligungen","Alle Koordinatoren","Alle Unternehmensgrößen","-2","Alle Organisationstypen",28,"Alle Expertevaluierungsstatus",$B26,"-2","-2","-2","Alle","-2","foerderung")/1000000</f>
        <v>0</v>
      </c>
      <c r="T26" s="367">
        <f ca="1">_xll.PALO.DATAC("jedoxtest/EU_PM_CUBE02","EUPM_Mittel2_Cube",Datenstand,"Alle Beteiligungen","Alle Koordinatoren","Alle Unternehmensgrößen","-2","Alle Organisationstypen",28,"Alle Expertevaluierungsstatus",$B26,"-2",1000001,"-2","Alle","-2","foerderung")/1000000</f>
        <v>0</v>
      </c>
      <c r="U26" s="367">
        <f ca="1">_xll.PALO.DATAC("jedoxtest/EU_PM_CUBE02","EUPM_Mittel2_Cube",Datenstand,"Alle Beteiligungen","Alle Koordinatoren","Alle Unternehmensgrößen","-2","Alle Organisationstypen",28,"Alle Expertevaluierungsstatus",$B26,"-2",1,"-2","Alle","-2","foerderung")/1000000</f>
        <v>0</v>
      </c>
      <c r="V26" s="224" t="str">
        <f ca="1">IFERROR(_xll.PALO.DATAC("jedoxtest/EU_PM_CUBE02","EUPM_Mittel2_Cube",Datenstand,"Alle Beteiligungen","Alle Koordinatoren","Alle Unternehmensgrößen","-2","Alle Organisationstypen",28,"Alle Expertevaluierungsstatus",$B26,"-2",1,"-2","Alle","-2","foerderung")/_xll.PALO.DATAC("jedoxtest/EU_PM_CUBE02","EUPM_Mittel2_Cube",Datenstand,"Alle Beteiligungen","Alle Koordinatoren","Alle Unternehmensgrößen","-2","Alle Organisationstypen",28,"Alle Expertevaluierungsstatus",$B26,"-2",-2,"-2","Alle","-2","foerderung"),"-  ")</f>
        <v xml:space="preserve">-  </v>
      </c>
    </row>
    <row r="27" spans="1:22" ht="15" customHeight="1">
      <c r="B27" s="223"/>
    </row>
    <row r="28" spans="1:22" ht="15" customHeight="1">
      <c r="S28" s="759" t="str">
        <f ca="1">"Quelle: EC "&amp;_xll.PALO.DATA("jedoxtest/EU_PM_CUBE02","#_Datenstand","reference_month",Datenstand)&amp;"/"&amp;_xll.PALO.DATA("jedoxtest/EU_PM_CUBE02","#_Datenstand","reference_year",Datenstand)&amp;"; Darstellung FFG"</f>
        <v>Quelle: EC 5/2026; Darstellung FFG</v>
      </c>
      <c r="T28" s="759"/>
      <c r="U28" s="759"/>
      <c r="V28" s="759"/>
    </row>
    <row r="29" spans="1:22" ht="15" customHeight="1">
      <c r="S29" s="313"/>
      <c r="T29" s="313"/>
      <c r="U29" s="313"/>
      <c r="V29" s="313"/>
    </row>
    <row r="30" spans="1:22" ht="15" customHeight="1"/>
    <row r="32" spans="1:22" ht="15" hidden="1" customHeight="1">
      <c r="A32" s="181" t="b">
        <f ca="1">_xll.PALO.HIDEROW(ISBLANK($A$1))</f>
        <v>1</v>
      </c>
      <c r="B32" s="181" t="s">
        <v>191</v>
      </c>
      <c r="C32" s="181" t="str">
        <f ca="1">_xll.PALO.ENAME("jedoxtest/EU_PM_CUBE02","Datenstand",3)</f>
        <v>117</v>
      </c>
    </row>
  </sheetData>
  <mergeCells count="7">
    <mergeCell ref="C2:W2"/>
    <mergeCell ref="H4:J4"/>
    <mergeCell ref="D4:F4"/>
    <mergeCell ref="S28:V28"/>
    <mergeCell ref="S4:U4"/>
    <mergeCell ref="O4:Q4"/>
    <mergeCell ref="L4:N4"/>
  </mergeCells>
  <pageMargins left="0.70866141732283472" right="0.70866141732283472" top="0.74803149606299213" bottom="0.74803149606299213" header="0.31496062992125984" footer="0.31496062992125984"/>
  <pageSetup paperSize="9" scale="82"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26">
    <tabColor rgb="FF92D050"/>
    <pageSetUpPr fitToPage="1"/>
  </sheetPr>
  <dimension ref="A1:W32"/>
  <sheetViews>
    <sheetView zoomScaleNormal="100" workbookViewId="0">
      <selection activeCell="C1" sqref="C1"/>
    </sheetView>
  </sheetViews>
  <sheetFormatPr baseColWidth="10" defaultColWidth="11.42578125" defaultRowHeight="15"/>
  <cols>
    <col min="1" max="1" width="4.28515625" style="352" customWidth="1"/>
    <col min="2" max="2" width="13.7109375" style="352" hidden="1" customWidth="1"/>
    <col min="3" max="3" width="39.7109375" style="352" customWidth="1"/>
    <col min="4" max="6" width="12.28515625" style="352" customWidth="1"/>
    <col min="7" max="7" width="12.28515625" style="352" hidden="1" customWidth="1"/>
    <col min="8" max="10" width="12.28515625" style="352" customWidth="1"/>
    <col min="11" max="11" width="12.28515625" style="352" hidden="1" customWidth="1"/>
    <col min="12" max="14" width="12.28515625" style="352" customWidth="1"/>
    <col min="15" max="21" width="12.28515625" style="352" hidden="1" customWidth="1"/>
    <col min="22" max="22" width="45" style="352" hidden="1" customWidth="1"/>
    <col min="23" max="23" width="3.28515625" style="352" customWidth="1"/>
    <col min="24" max="16384" width="11.42578125" style="352"/>
  </cols>
  <sheetData>
    <row r="1" spans="2:23" ht="15" customHeight="1">
      <c r="B1" s="352" t="b">
        <f ca="1">_xll.PALO.HIDECOLUMN(ISBLANK($A$1))</f>
        <v>1</v>
      </c>
      <c r="G1" s="352" t="b">
        <f ca="1">_xll.PALO.HIDECOLUMN(ISBLANK($A$1))</f>
        <v>1</v>
      </c>
      <c r="K1" s="352" t="b">
        <f ca="1">_xll.PALO.HIDECOLUMN(ISBLANK($A$1))</f>
        <v>1</v>
      </c>
      <c r="R1" s="352" t="b">
        <f ca="1">_xll.PALO.HIDECOLUMN(ISBLANK($A$1))</f>
        <v>1</v>
      </c>
      <c r="V1" s="352" t="b">
        <f ca="1">_xll.PALO.HIDECOLUMN(ISBLANK($A$1))</f>
        <v>1</v>
      </c>
    </row>
    <row r="2" spans="2:23" ht="25.5" customHeight="1">
      <c r="C2" s="758" t="str">
        <f ca="1">_xll.PALO.DATA("jedoxtest/EU_PM_CUBE02","#_Datenstand","frameworkprog_long",Datenstand)&amp;": Einreichungen, Bewilligungen und Erfolgsquoten für Alle Staaten, EU-27 und Österreich"</f>
        <v>Horizon Europe: Einreichungen, Bewilligungen und Erfolgsquoten für Alle Staaten, EU-27 und Österreich</v>
      </c>
      <c r="D2" s="758"/>
      <c r="E2" s="758"/>
      <c r="F2" s="758"/>
      <c r="G2" s="758"/>
      <c r="H2" s="758"/>
      <c r="I2" s="758"/>
      <c r="J2" s="758"/>
      <c r="K2" s="758"/>
      <c r="L2" s="758"/>
      <c r="M2" s="758"/>
      <c r="N2" s="758"/>
      <c r="O2" s="758"/>
      <c r="P2" s="758"/>
      <c r="Q2" s="758"/>
      <c r="R2" s="758"/>
      <c r="S2" s="758"/>
      <c r="T2" s="758"/>
      <c r="U2" s="758"/>
      <c r="V2" s="758"/>
      <c r="W2" s="758"/>
    </row>
    <row r="3" spans="2:23" ht="10.5" customHeight="1">
      <c r="D3" s="222"/>
      <c r="E3" s="222"/>
      <c r="F3" s="222"/>
      <c r="G3" s="222"/>
      <c r="H3" s="222"/>
      <c r="I3" s="222"/>
      <c r="J3" s="222"/>
      <c r="K3" s="222"/>
      <c r="L3" s="222"/>
      <c r="M3" s="222"/>
      <c r="N3" s="222"/>
      <c r="O3" s="222"/>
      <c r="P3" s="222"/>
      <c r="Q3" s="222"/>
      <c r="R3" s="222"/>
      <c r="S3" s="222"/>
      <c r="T3" s="222"/>
      <c r="U3" s="222"/>
      <c r="V3" s="222"/>
    </row>
    <row r="4" spans="2:23" ht="31.5" customHeight="1">
      <c r="D4" s="741" t="s">
        <v>239</v>
      </c>
      <c r="E4" s="741"/>
      <c r="F4" s="742"/>
      <c r="G4" s="182" t="s">
        <v>35</v>
      </c>
      <c r="H4" s="741" t="s">
        <v>31</v>
      </c>
      <c r="I4" s="741"/>
      <c r="J4" s="742"/>
      <c r="K4" s="182" t="s">
        <v>35</v>
      </c>
      <c r="L4" s="741" t="str">
        <f>UPPER("Erfolgsquote der Beteiligung")</f>
        <v>ERFOLGSQUOTE DER BETEILIGUNG</v>
      </c>
      <c r="M4" s="741"/>
      <c r="N4" s="741"/>
      <c r="O4" s="741" t="s">
        <v>37</v>
      </c>
      <c r="P4" s="741"/>
      <c r="Q4" s="742"/>
      <c r="R4" s="182" t="s">
        <v>35</v>
      </c>
      <c r="S4" s="741" t="s">
        <v>36</v>
      </c>
      <c r="T4" s="741"/>
      <c r="U4" s="741"/>
      <c r="V4" s="183" t="s">
        <v>35</v>
      </c>
    </row>
    <row r="5" spans="2:23" ht="29.25" customHeight="1">
      <c r="C5" s="360"/>
      <c r="D5" s="184" t="str">
        <f>UPPER("Alle Staaten")</f>
        <v>ALLE STAATEN</v>
      </c>
      <c r="E5" s="184" t="s">
        <v>167</v>
      </c>
      <c r="F5" s="278" t="s">
        <v>21</v>
      </c>
      <c r="G5" s="184"/>
      <c r="H5" s="184" t="str">
        <f>UPPER("Alle Staaten")</f>
        <v>ALLE STAATEN</v>
      </c>
      <c r="I5" s="184" t="s">
        <v>167</v>
      </c>
      <c r="J5" s="278" t="s">
        <v>21</v>
      </c>
      <c r="K5" s="184"/>
      <c r="L5" s="184" t="str">
        <f>UPPER("Alle Staaten")</f>
        <v>ALLE STAATEN</v>
      </c>
      <c r="M5" s="184" t="s">
        <v>167</v>
      </c>
      <c r="N5" s="184" t="s">
        <v>21</v>
      </c>
      <c r="O5" s="184" t="str">
        <f>UPPER("Alle Staaten")</f>
        <v>ALLE STAATEN</v>
      </c>
      <c r="P5" s="184" t="s">
        <v>167</v>
      </c>
      <c r="Q5" s="278" t="s">
        <v>21</v>
      </c>
      <c r="R5" s="184"/>
      <c r="S5" s="184" t="str">
        <f>UPPER("Alle Staaten")</f>
        <v>ALLE STAATEN</v>
      </c>
      <c r="T5" s="184" t="s">
        <v>167</v>
      </c>
      <c r="U5" s="184" t="s">
        <v>21</v>
      </c>
      <c r="V5" s="185"/>
    </row>
    <row r="6" spans="2:2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Organisationstypen",5,"Alle Expertevaluierungsstatus",$B6,"-2","-2","-2","Alle","-2","anzahl_beteiligungen")</f>
        <v>753198</v>
      </c>
      <c r="E6" s="187">
        <f ca="1">_xll.PALO.DATAC("jedoxtest/EU_PM_CUBE02","EUPM_Mittel2_Cube",Datenstand,"Alle Beteiligungen","Alle Koordinatoren","Alle Unternehmensgrößen","-2","Alle Organisationstypen",5,"Alle Expertevaluierungsstatus",$B6,"-2",1000001,"-2","Alle","-2","anzahl_beteiligungen")</f>
        <v>604256</v>
      </c>
      <c r="F6" s="190">
        <f ca="1">_xll.PALO.DATAC("jedoxtest/EU_PM_CUBE02","EUPM_Mittel2_Cube",Datenstand,"Alle Beteiligungen","Alle Koordinatoren","Alle Unternehmensgrößen","-2","Alle Organisationstypen",5,"Alle Expertevaluierungsstatus",$B6,"-2",1,"-2","Alle","-2","anzahl_beteiligungen")</f>
        <v>20643</v>
      </c>
      <c r="G6" s="188">
        <f ca="1">IFERROR(_xll.PALO.DATAC("jedoxtest/EU_PM_CUBE02","EUPM_Mittel2_Cube",Datenstand,"Alle Beteiligungen","Alle Koordinatoren","Alle Unternehmensgrößen","-2","Alle Organisationstypen",5,"Alle Expertevaluierungsstatus",$B6,"-2",1,"-2","Alle","-2","anzahl_beteiligungen")/_xll.PALO.DATAC("jedoxtest/EU_PM_CUBE02","EUPM_Mittel2_Cube",Datenstand,"Alle Beteiligungen","Alle Koordinatoren","Alle Unternehmensgrößen","-2","Alle Organisationstypen",5,"Alle Expertevaluierungsstatus",$B6,"-2",-2,"-2","Alle","-2","anzahl_beteiligungen"),"-  ")</f>
        <v>2.7407135972214478E-2</v>
      </c>
      <c r="H6" s="187">
        <f ca="1">_xll.PALO.DATAC("jedoxtest/EU_PM_CUBE02","EUPM_Mittel2_Cube",Datenstand,"Alle Beteiligungen","Alle Koordinatoren","Alle Unternehmensgrößen","-2","Alle Organisationstypen",14,"Alle Expertevaluierungsstatus",$B6,"-2","-2","-2","Alle","-2","anzahl_beteiligungen")</f>
        <v>135897</v>
      </c>
      <c r="I6" s="187">
        <f ca="1">_xll.PALO.DATAC("jedoxtest/EU_PM_CUBE02","EUPM_Mittel2_Cube",Datenstand,"Alle Beteiligungen","Alle Koordinatoren","Alle Unternehmensgrößen","-2","Alle Organisationstypen",14,"Alle Expertevaluierungsstatus",$B6,"-2",1000001,"-2","Alle","-2","anzahl_beteiligungen")</f>
        <v>110376</v>
      </c>
      <c r="J6" s="190">
        <f ca="1">_xll.PALO.DATAC("jedoxtest/EU_PM_CUBE02","EUPM_Mittel2_Cube",Datenstand,"Alle Beteiligungen","Alle Koordinatoren","Alle Unternehmensgrößen","-2","Alle Organisationstypen",14,"Alle Expertevaluierungsstatus",$B6,"-2",1,"-2","Alle","-2","anzahl_beteiligungen")</f>
        <v>3892</v>
      </c>
      <c r="K6" s="188">
        <f ca="1">IFERROR(_xll.PALO.DATAC("jedoxtest/EU_PM_CUBE02","EUPM_Mittel2_Cube",Datenstand,"Alle Beteiligungen","Alle Koordinatoren","Alle Unternehmensgrößen","-2","Alle Organisationstypen",14,"Alle Expertevaluierungsstatus",$B6,"-2",1,"-2","Alle","-2","anzahl_beteiligungen")/_xll.PALO.DATAC("jedoxtest/EU_PM_CUBE02","EUPM_Mittel2_Cube",Datenstand,"Alle Beteiligungen","Alle Koordinatoren","Alle Unternehmensgrößen","-2","Alle Organisationstypen",14,"Alle Expertevaluierungsstatus",$B6,"-2",-2,"-2","Alle","-2","anzahl_beteiligungen"),"-  ")</f>
        <v>2.8639337145043672E-2</v>
      </c>
      <c r="L6" s="188">
        <f ca="1">IFERROR(H6/D6,"-   ")</f>
        <v>0.18042666071869548</v>
      </c>
      <c r="M6" s="188">
        <f ca="1">IFERROR(I6/E6,"-   ")</f>
        <v>0.18266430122332256</v>
      </c>
      <c r="N6" s="188">
        <f ca="1">IFERROR(J6/F6,"-   ")</f>
        <v>0.18853848762292302</v>
      </c>
      <c r="O6" s="187">
        <f ca="1">_xll.PALO.DATAC("jedoxtest/EU_PM_CUBE02","EUPM_Mittel2_Cube",Datenstand,"Alle Beteiligungen","Alle Koordinatoren","Alle Unternehmensgrößen","-2","Alle Organisationstypen",14,"Alle Expertevaluierungsstatus",$B6,"-2","-2","-2","Alle","-2","anzahl_koordinatoren")</f>
        <v>24193</v>
      </c>
      <c r="P6" s="187">
        <f ca="1">_xll.PALO.DATAC("jedoxtest/EU_PM_CUBE02","EUPM_Mittel2_Cube",Datenstand,"Alle Beteiligungen","Alle Koordinatoren","Alle Unternehmensgrößen","-2","Alle Organisationstypen",14,"Alle Expertevaluierungsstatus",$B6,"-2",1000001,"-2","Alle","-2","anzahl_koordinatoren")</f>
        <v>19320</v>
      </c>
      <c r="Q6" s="190">
        <f ca="1">_xll.PALO.DATAC("jedoxtest/EU_PM_CUBE02","EUPM_Mittel2_Cube",Datenstand,"Alle Beteiligungen","Alle Koordinatoren","Alle Unternehmensgrößen","-2","Alle Organisationstypen",14,"Alle Expertevaluierungsstatus",$B6,"-2",1,"-2","Alle","-2","anzahl_koordinatoren")</f>
        <v>718</v>
      </c>
      <c r="R6" s="188">
        <f ca="1">IFERROR(_xll.PALO.DATAC("jedoxtest/EU_PM_CUBE02","EUPM_Mittel2_Cube",Datenstand,"Alle Beteiligungen","Alle Koordinatoren","Alle Unternehmensgrößen","-2","Alle Organisationstypen",14,"Alle Expertevaluierungsstatus",$B6,"-2",1,"-2","Alle","-2","anzahl_koordinatoren")/_xll.PALO.DATAC("jedoxtest/EU_PM_CUBE02","EUPM_Mittel2_Cube",Datenstand,"Alle Beteiligungen","Alle Koordinatoren","Alle Unternehmensgrößen","-2","Alle Organisationstypen",14,"Alle Expertevaluierungsstatus",$B6,"-2",-2,"-2","Alle","-2","anzahl_koordinatoren"),"-  ")</f>
        <v>2.9678006034803455E-2</v>
      </c>
      <c r="S6" s="225">
        <f ca="1">_xll.PALO.DATAC("jedoxtest/EU_PM_CUBE02","EUPM_Mittel2_Cube",Datenstand,"Alle Beteiligungen","Alle Koordinatoren","Alle Unternehmensgrößen","-2","Alle Organisationstypen",14,"Alle Expertevaluierungsstatus",$B6,"-2","-2","-2","Alle","-2","foerderung")/1000000</f>
        <v>63704.043918586896</v>
      </c>
      <c r="T6" s="225">
        <f ca="1">_xll.PALO.DATAC("jedoxtest/EU_PM_CUBE02","EUPM_Mittel2_Cube",Datenstand,"Alle Beteiligungen","Alle Koordinatoren","Alle Unternehmensgrößen","-2","Alle Organisationstypen",14,"Alle Expertevaluierungsstatus",$B6,"-2",1000001,"-2","Alle","-2","foerderung")/1000000</f>
        <v>53612.226675007798</v>
      </c>
      <c r="U6" s="225">
        <f ca="1">_xll.PALO.DATAC("jedoxtest/EU_PM_CUBE02","EUPM_Mittel2_Cube",Datenstand,"Alle Beteiligungen","Alle Koordinatoren","Alle Unternehmensgrößen","-2","Alle Organisationstypen",14,"Alle Expertevaluierungsstatus",$B6,"-2",1,"-2","Alle","-2","foerderung")/1000000</f>
        <v>1845.2225264600102</v>
      </c>
      <c r="V6" s="224">
        <f ca="1">IFERROR(_xll.PALO.DATAC("jedoxtest/EU_PM_CUBE02","EUPM_Mittel2_Cube",Datenstand,"Alle Beteiligungen","Alle Koordinatoren","Alle Unternehmensgrößen","-2","Alle Organisationstypen",14,"Alle Expertevaluierungsstatus",$B6,"-2",1,"-2","Alle","-2","foerderung")/_xll.PALO.DATAC("jedoxtest/EU_PM_CUBE02","EUPM_Mittel2_Cube",Datenstand,"Alle Beteiligungen","Alle Koordinatoren","Alle Unternehmensgrößen","-2","Alle Organisationstypen",14,"Alle Expertevaluierungsstatus",$B6,"-2",-2,"-2","Alle","-2","foerderung"),"-  ")</f>
        <v>2.8965547757347793E-2</v>
      </c>
    </row>
    <row r="7" spans="2:23" ht="15" hidden="1" customHeight="1">
      <c r="B7" t="s">
        <v>139</v>
      </c>
      <c r="C7" s="361" t="str">
        <f ca="1">_xll.PALO.DATA("jedoxtest/EU_PM_CUBE02","#_Programme","Langbezeichnung",$B7)</f>
        <v>EC Treaty</v>
      </c>
      <c r="D7" s="206">
        <f ca="1">_xll.PALO.DATAC("jedoxtest/EU_PM_CUBE02","EUPM_Mittel2_Cube",Datenstand,"Alle Beteiligungen","Alle Koordinatoren","Alle Unternehmensgrößen","-2","Alle Organisationstypen",5,"Alle Expertevaluierungsstatus",$B7,"-2","-2","-2","Alle","-2","anzahl_beteiligungen")</f>
        <v>753198</v>
      </c>
      <c r="E7" s="206">
        <f ca="1">_xll.PALO.DATAC("jedoxtest/EU_PM_CUBE02","EUPM_Mittel2_Cube",Datenstand,"Alle Beteiligungen","Alle Koordinatoren","Alle Unternehmensgrößen","-2","Alle Organisationstypen",5,"Alle Expertevaluierungsstatus",$B7,"-2",1000001,"-2","Alle","-2","anzahl_beteiligungen")</f>
        <v>604256</v>
      </c>
      <c r="F7" s="362">
        <f ca="1">_xll.PALO.DATAC("jedoxtest/EU_PM_CUBE02","EUPM_Mittel2_Cube",Datenstand,"Alle Beteiligungen","Alle Koordinatoren","Alle Unternehmensgrößen","-2","Alle Organisationstypen",5,"Alle Expertevaluierungsstatus",$B7,"-2",1,"-2","Alle","-2","anzahl_beteiligungen")</f>
        <v>20643</v>
      </c>
      <c r="G7" s="325">
        <f ca="1">IFERROR(_xll.PALO.DATAC("jedoxtest/EU_PM_CUBE02","EUPM_Mittel2_Cube",Datenstand,"Alle Beteiligungen","Alle Koordinatoren","Alle Unternehmensgrößen","-2","Alle Organisationstypen",5,"Alle Expertevaluierungsstatus",$B7,"-2",1,"-2","Alle","-2","anzahl_beteiligungen")/_xll.PALO.DATAC("jedoxtest/EU_PM_CUBE02","EUPM_Mittel2_Cube",Datenstand,"Alle Beteiligungen","Alle Koordinatoren","Alle Unternehmensgrößen","-2","Alle Organisationstypen",5,"Alle Expertevaluierungsstatus",$B7,"-2",-2,"-2","Alle","-2","anzahl_beteiligungen"),"-  ")</f>
        <v>2.7407135972214478E-2</v>
      </c>
      <c r="H7" s="206">
        <f ca="1">_xll.PALO.DATAC("jedoxtest/EU_PM_CUBE02","EUPM_Mittel2_Cube",Datenstand,"Alle Beteiligungen","Alle Koordinatoren","Alle Unternehmensgrößen","-2","Alle Organisationstypen",14,"Alle Expertevaluierungsstatus",$B7,"-2","-2","-2","Alle","-2","anzahl_beteiligungen")</f>
        <v>135897</v>
      </c>
      <c r="I7" s="206">
        <f ca="1">_xll.PALO.DATAC("jedoxtest/EU_PM_CUBE02","EUPM_Mittel2_Cube",Datenstand,"Alle Beteiligungen","Alle Koordinatoren","Alle Unternehmensgrößen","-2","Alle Organisationstypen",14,"Alle Expertevaluierungsstatus",$B7,"-2",1000001,"-2","Alle","-2","anzahl_beteiligungen")</f>
        <v>110376</v>
      </c>
      <c r="J7" s="362">
        <f ca="1">_xll.PALO.DATAC("jedoxtest/EU_PM_CUBE02","EUPM_Mittel2_Cube",Datenstand,"Alle Beteiligungen","Alle Koordinatoren","Alle Unternehmensgrößen","-2","Alle Organisationstypen",14,"Alle Expertevaluierungsstatus",$B7,"-2",1,"-2","Alle","-2","anzahl_beteiligungen")</f>
        <v>3892</v>
      </c>
      <c r="K7" s="325">
        <f ca="1">IFERROR(_xll.PALO.DATAC("jedoxtest/EU_PM_CUBE02","EUPM_Mittel2_Cube",Datenstand,"Alle Beteiligungen","Alle Koordinatoren","Alle Unternehmensgrößen","-2","Alle Organisationstypen",14,"Alle Expertevaluierungsstatus",$B7,"-2",1,"-2","Alle","-2","anzahl_beteiligungen")/_xll.PALO.DATAC("jedoxtest/EU_PM_CUBE02","EUPM_Mittel2_Cube",Datenstand,"Alle Beteiligungen","Alle Koordinatoren","Alle Unternehmensgrößen","-2","Alle Organisationstypen",14,"Alle Expertevaluierungsstatus",$B7,"-2",-2,"-2","Alle","-2","anzahl_beteiligungen"),"-  ")</f>
        <v>2.8639337145043672E-2</v>
      </c>
      <c r="L7" s="325">
        <f t="shared" ref="L7:N26" ca="1" si="0">IFERROR(H7/D7,"-   ")</f>
        <v>0.18042666071869548</v>
      </c>
      <c r="M7" s="325">
        <f t="shared" ca="1" si="0"/>
        <v>0.18266430122332256</v>
      </c>
      <c r="N7" s="325">
        <f t="shared" ca="1" si="0"/>
        <v>0.18853848762292302</v>
      </c>
      <c r="O7" s="206">
        <f ca="1">_xll.PALO.DATAC("jedoxtest/EU_PM_CUBE02","EUPM_Mittel2_Cube",Datenstand,"Alle Beteiligungen","Alle Koordinatoren","Alle Unternehmensgrößen","-2","Alle Organisationstypen",14,"Alle Expertevaluierungsstatus",$B7,"-2","-2","-2","Alle","-2","anzahl_koordinatoren")</f>
        <v>24193</v>
      </c>
      <c r="P7" s="206">
        <f ca="1">_xll.PALO.DATAC("jedoxtest/EU_PM_CUBE02","EUPM_Mittel2_Cube",Datenstand,"Alle Beteiligungen","Alle Koordinatoren","Alle Unternehmensgrößen","-2","Alle Organisationstypen",14,"Alle Expertevaluierungsstatus",$B7,"-2",1000001,"-2","Alle","-2","anzahl_koordinatoren")</f>
        <v>19320</v>
      </c>
      <c r="Q7" s="362">
        <f ca="1">_xll.PALO.DATAC("jedoxtest/EU_PM_CUBE02","EUPM_Mittel2_Cube",Datenstand,"Alle Beteiligungen","Alle Koordinatoren","Alle Unternehmensgrößen","-2","Alle Organisationstypen",14,"Alle Expertevaluierungsstatus",$B7,"-2",1,"-2","Alle","-2","anzahl_koordinatoren")</f>
        <v>718</v>
      </c>
      <c r="R7" s="325">
        <f ca="1">IFERROR(_xll.PALO.DATAC("jedoxtest/EU_PM_CUBE02","EUPM_Mittel2_Cube",Datenstand,"Alle Beteiligungen","Alle Koordinatoren","Alle Unternehmensgrößen","-2","Alle Organisationstypen",14,"Alle Expertevaluierungsstatus",$B7,"-2",1,"-2","Alle","-2","anzahl_koordinatoren")/_xll.PALO.DATAC("jedoxtest/EU_PM_CUBE02","EUPM_Mittel2_Cube",Datenstand,"Alle Beteiligungen","Alle Koordinatoren","Alle Unternehmensgrößen","-2","Alle Organisationstypen",14,"Alle Expertevaluierungsstatus",$B7,"-2",-2,"-2","Alle","-2","anzahl_koordinatoren"),"-  ")</f>
        <v>2.9678006034803455E-2</v>
      </c>
      <c r="S7" s="326">
        <f ca="1">_xll.PALO.DATAC("jedoxtest/EU_PM_CUBE02","EUPM_Mittel2_Cube",Datenstand,"Alle Beteiligungen","Alle Koordinatoren","Alle Unternehmensgrößen","-2","Alle Organisationstypen",14,"Alle Expertevaluierungsstatus",$B7,"-2","-2","-2","Alle","-2","foerderung")/1000000</f>
        <v>63704.043918586896</v>
      </c>
      <c r="T7" s="326">
        <f ca="1">_xll.PALO.DATAC("jedoxtest/EU_PM_CUBE02","EUPM_Mittel2_Cube",Datenstand,"Alle Beteiligungen","Alle Koordinatoren","Alle Unternehmensgrößen","-2","Alle Organisationstypen",14,"Alle Expertevaluierungsstatus",$B7,"-2",1000001,"-2","Alle","-2","foerderung")/1000000</f>
        <v>53612.226675007798</v>
      </c>
      <c r="U7" s="326">
        <f ca="1">_xll.PALO.DATAC("jedoxtest/EU_PM_CUBE02","EUPM_Mittel2_Cube",Datenstand,"Alle Beteiligungen","Alle Koordinatoren","Alle Unternehmensgrößen","-2","Alle Organisationstypen",14,"Alle Expertevaluierungsstatus",$B7,"-2",1,"-2","Alle","-2","foerderung")/1000000</f>
        <v>1845.2225264600102</v>
      </c>
      <c r="V7" s="224">
        <f ca="1">IFERROR(_xll.PALO.DATAC("jedoxtest/EU_PM_CUBE02","EUPM_Mittel2_Cube",Datenstand,"Alle Beteiligungen","Alle Koordinatoren","Alle Unternehmensgrößen","-2","Alle Organisationstypen",14,"Alle Expertevaluierungsstatus",$B7,"-2",1,"-2","Alle","-2","foerderung")/_xll.PALO.DATAC("jedoxtest/EU_PM_CUBE02","EUPM_Mittel2_Cube",Datenstand,"Alle Beteiligungen","Alle Koordinatoren","Alle Unternehmensgrößen","-2","Alle Organisationstypen",14,"Alle Expertevaluierungsstatus",$B7,"-2",-2,"-2","Alle","-2","foerderung"),"-  ")</f>
        <v>2.8965547757347793E-2</v>
      </c>
    </row>
    <row r="8" spans="2:23" ht="15" customHeight="1">
      <c r="B8" t="s">
        <v>140</v>
      </c>
      <c r="C8" s="361" t="str">
        <f ca="1">_xll.PALO.DATA("jedoxtest/EU_PM_CUBE02","#_Programme","Langbezeichnung",$B8)</f>
        <v>Excellent Science</v>
      </c>
      <c r="D8" s="206">
        <f ca="1">_xll.PALO.DATAC("jedoxtest/EU_PM_CUBE02","EUPM_Mittel2_Cube",Datenstand,"Alle Beteiligungen","Alle Koordinatoren","Alle Unternehmensgrößen","-2","Alle Organisationstypen",5,"Alle Expertevaluierungsstatus",$B8,"-2","-2","-2","Alle","-2","anzahl_beteiligungen")</f>
        <v>240092</v>
      </c>
      <c r="E8" s="206">
        <f ca="1">_xll.PALO.DATAC("jedoxtest/EU_PM_CUBE02","EUPM_Mittel2_Cube",Datenstand,"Alle Beteiligungen","Alle Koordinatoren","Alle Unternehmensgrößen","-2","Alle Organisationstypen",5,"Alle Expertevaluierungsstatus",$B8,"-2",1000001,"-2","Alle","-2","anzahl_beteiligungen")</f>
        <v>181501</v>
      </c>
      <c r="F8" s="362">
        <f ca="1">_xll.PALO.DATAC("jedoxtest/EU_PM_CUBE02","EUPM_Mittel2_Cube",Datenstand,"Alle Beteiligungen","Alle Koordinatoren","Alle Unternehmensgrößen","-2","Alle Organisationstypen",5,"Alle Expertevaluierungsstatus",$B8,"-2",1,"-2","Alle","-2","anzahl_beteiligungen")</f>
        <v>6064</v>
      </c>
      <c r="G8" s="325">
        <f ca="1">IFERROR(_xll.PALO.DATAC("jedoxtest/EU_PM_CUBE02","EUPM_Mittel2_Cube",Datenstand,"Alle Beteiligungen","Alle Koordinatoren","Alle Unternehmensgrößen","-2","Alle Organisationstypen",5,"Alle Expertevaluierungsstatus",$B8,"-2",1,"-2","Alle","-2","anzahl_beteiligungen")/_xll.PALO.DATAC("jedoxtest/EU_PM_CUBE02","EUPM_Mittel2_Cube",Datenstand,"Alle Beteiligungen","Alle Koordinatoren","Alle Unternehmensgrößen","-2","Alle Organisationstypen",5,"Alle Expertevaluierungsstatus",$B8,"-2",-2,"-2","Alle","-2","anzahl_beteiligungen"),"-  ")</f>
        <v>2.5256984822484715E-2</v>
      </c>
      <c r="H8" s="206">
        <f ca="1">_xll.PALO.DATAC("jedoxtest/EU_PM_CUBE02","EUPM_Mittel2_Cube",Datenstand,"Alle Beteiligungen","Alle Koordinatoren","Alle Unternehmensgrößen","-2","Alle Organisationstypen",14,"Alle Expertevaluierungsstatus",$B8,"-2","-2","-2","Alle","-2","anzahl_beteiligungen")</f>
        <v>39935</v>
      </c>
      <c r="I8" s="206">
        <f ca="1">_xll.PALO.DATAC("jedoxtest/EU_PM_CUBE02","EUPM_Mittel2_Cube",Datenstand,"Alle Beteiligungen","Alle Koordinatoren","Alle Unternehmensgrößen","-2","Alle Organisationstypen",14,"Alle Expertevaluierungsstatus",$B8,"-2",1000001,"-2","Alle","-2","anzahl_beteiligungen")</f>
        <v>29925</v>
      </c>
      <c r="J8" s="362">
        <f ca="1">_xll.PALO.DATAC("jedoxtest/EU_PM_CUBE02","EUPM_Mittel2_Cube",Datenstand,"Alle Beteiligungen","Alle Koordinatoren","Alle Unternehmensgrößen","-2","Alle Organisationstypen",14,"Alle Expertevaluierungsstatus",$B8,"-2",1,"-2","Alle","-2","anzahl_beteiligungen")</f>
        <v>1009</v>
      </c>
      <c r="K8" s="325">
        <f ca="1">IFERROR(_xll.PALO.DATAC("jedoxtest/EU_PM_CUBE02","EUPM_Mittel2_Cube",Datenstand,"Alle Beteiligungen","Alle Koordinatoren","Alle Unternehmensgrößen","-2","Alle Organisationstypen",14,"Alle Expertevaluierungsstatus",$B8,"-2",1,"-2","Alle","-2","anzahl_beteiligungen")/_xll.PALO.DATAC("jedoxtest/EU_PM_CUBE02","EUPM_Mittel2_Cube",Datenstand,"Alle Beteiligungen","Alle Koordinatoren","Alle Unternehmensgrößen","-2","Alle Organisationstypen",14,"Alle Expertevaluierungsstatus",$B8,"-2",-2,"-2","Alle","-2","anzahl_beteiligungen"),"-  ")</f>
        <v>2.5266057343182671E-2</v>
      </c>
      <c r="L8" s="325">
        <f t="shared" ca="1" si="0"/>
        <v>0.16633207270546291</v>
      </c>
      <c r="M8" s="325">
        <f t="shared" ca="1" si="0"/>
        <v>0.16487512465496057</v>
      </c>
      <c r="N8" s="325">
        <f t="shared" ca="1" si="0"/>
        <v>0.16639182058047494</v>
      </c>
      <c r="O8" s="206">
        <f ca="1">_xll.PALO.DATAC("jedoxtest/EU_PM_CUBE02","EUPM_Mittel2_Cube",Datenstand,"Alle Beteiligungen","Alle Koordinatoren","Alle Unternehmensgrößen","-2","Alle Organisationstypen",14,"Alle Expertevaluierungsstatus",$B8,"-2","-2","-2","Alle","-2","anzahl_koordinatoren")</f>
        <v>14071</v>
      </c>
      <c r="P8" s="206">
        <f ca="1">_xll.PALO.DATAC("jedoxtest/EU_PM_CUBE02","EUPM_Mittel2_Cube",Datenstand,"Alle Beteiligungen","Alle Koordinatoren","Alle Unternehmensgrößen","-2","Alle Organisationstypen",14,"Alle Expertevaluierungsstatus",$B8,"-2",1000001,"-2","Alle","-2","anzahl_koordinatoren")</f>
        <v>10736</v>
      </c>
      <c r="Q8" s="362">
        <f ca="1">_xll.PALO.DATAC("jedoxtest/EU_PM_CUBE02","EUPM_Mittel2_Cube",Datenstand,"Alle Beteiligungen","Alle Koordinatoren","Alle Unternehmensgrößen","-2","Alle Organisationstypen",14,"Alle Expertevaluierungsstatus",$B8,"-2",1,"-2","Alle","-2","anzahl_koordinatoren")</f>
        <v>436</v>
      </c>
      <c r="R8" s="325">
        <f ca="1">IFERROR(_xll.PALO.DATAC("jedoxtest/EU_PM_CUBE02","EUPM_Mittel2_Cube",Datenstand,"Alle Beteiligungen","Alle Koordinatoren","Alle Unternehmensgrößen","-2","Alle Organisationstypen",14,"Alle Expertevaluierungsstatus",$B8,"-2",1,"-2","Alle","-2","anzahl_koordinatoren")/_xll.PALO.DATAC("jedoxtest/EU_PM_CUBE02","EUPM_Mittel2_Cube",Datenstand,"Alle Beteiligungen","Alle Koordinatoren","Alle Unternehmensgrößen","-2","Alle Organisationstypen",14,"Alle Expertevaluierungsstatus",$B8,"-2",-2,"-2","Alle","-2","anzahl_koordinatoren"),"-  ")</f>
        <v>3.0985715300973635E-2</v>
      </c>
      <c r="S8" s="326">
        <f ca="1">_xll.PALO.DATAC("jedoxtest/EU_PM_CUBE02","EUPM_Mittel2_Cube",Datenstand,"Alle Beteiligungen","Alle Koordinatoren","Alle Unternehmensgrößen","-2","Alle Organisationstypen",14,"Alle Expertevaluierungsstatus",$B8,"-2","-2","-2","Alle","-2","foerderung")/1000000</f>
        <v>16635.4270765199</v>
      </c>
      <c r="T8" s="326">
        <f ca="1">_xll.PALO.DATAC("jedoxtest/EU_PM_CUBE02","EUPM_Mittel2_Cube",Datenstand,"Alle Beteiligungen","Alle Koordinatoren","Alle Unternehmensgrößen","-2","Alle Organisationstypen",14,"Alle Expertevaluierungsstatus",$B8,"-2",1000001,"-2","Alle","-2","foerderung")/1000000</f>
        <v>12681.338538</v>
      </c>
      <c r="U8" s="326">
        <f ca="1">_xll.PALO.DATAC("jedoxtest/EU_PM_CUBE02","EUPM_Mittel2_Cube",Datenstand,"Alle Beteiligungen","Alle Koordinatoren","Alle Unternehmensgrößen","-2","Alle Organisationstypen",14,"Alle Expertevaluierungsstatus",$B8,"-2",1,"-2","Alle","-2","foerderung")/1000000</f>
        <v>530.25952806999999</v>
      </c>
      <c r="V8" s="224">
        <f ca="1">IFERROR(_xll.PALO.DATAC("jedoxtest/EU_PM_CUBE02","EUPM_Mittel2_Cube",Datenstand,"Alle Beteiligungen","Alle Koordinatoren","Alle Unternehmensgrößen","-2","Alle Organisationstypen",14,"Alle Expertevaluierungsstatus",$B8,"-2",1,"-2","Alle","-2","foerderung")/_xll.PALO.DATAC("jedoxtest/EU_PM_CUBE02","EUPM_Mittel2_Cube",Datenstand,"Alle Beteiligungen","Alle Koordinatoren","Alle Unternehmensgrößen","-2","Alle Organisationstypen",14,"Alle Expertevaluierungsstatus",$B8,"-2",-2,"-2","Alle","-2","foerderung"),"-  ")</f>
        <v>3.1875317996400324E-2</v>
      </c>
    </row>
    <row r="9" spans="2:23" ht="15" customHeight="1">
      <c r="B9" t="s">
        <v>141</v>
      </c>
      <c r="C9" s="473" t="str">
        <f ca="1">_xll.PALO.DATA("jedoxtest/EU_PM_CUBE02","#_Programme","Langbezeichnung",$B9)</f>
        <v>European Research Council (ERC)</v>
      </c>
      <c r="D9" s="226">
        <f ca="1">_xll.PALO.DATAC("jedoxtest/EU_PM_CUBE02","EUPM_Mittel2_Cube",Datenstand,"Alle Beteiligungen","Alle Koordinatoren","Alle Unternehmensgrößen","-2","Alle Organisationstypen",5,"Alle Expertevaluierungsstatus",$B9,"-2","-2","-2","Alle","-2","anzahl_beteiligungen")</f>
        <v>43979</v>
      </c>
      <c r="E9" s="226">
        <f ca="1">_xll.PALO.DATAC("jedoxtest/EU_PM_CUBE02","EUPM_Mittel2_Cube",Datenstand,"Alle Beteiligungen","Alle Koordinatoren","Alle Unternehmensgrößen","-2","Alle Organisationstypen",5,"Alle Expertevaluierungsstatus",$B9,"-2",1000001,"-2","Alle","-2","anzahl_beteiligungen")</f>
        <v>33794</v>
      </c>
      <c r="F9" s="230">
        <f ca="1">_xll.PALO.DATAC("jedoxtest/EU_PM_CUBE02","EUPM_Mittel2_Cube",Datenstand,"Alle Beteiligungen","Alle Koordinatoren","Alle Unternehmensgrößen","-2","Alle Organisationstypen",5,"Alle Expertevaluierungsstatus",$B9,"-2",1,"-2","Alle","-2","anzahl_beteiligungen")</f>
        <v>1316</v>
      </c>
      <c r="G9" s="227">
        <f ca="1">IFERROR(_xll.PALO.DATAC("jedoxtest/EU_PM_CUBE02","EUPM_Mittel2_Cube",Datenstand,"Alle Beteiligungen","Alle Koordinatoren","Alle Unternehmensgrößen","-2","Alle Organisationstypen",5,"Alle Expertevaluierungsstatus",$B9,"-2",1,"-2","Alle","-2","anzahl_beteiligungen")/_xll.PALO.DATAC("jedoxtest/EU_PM_CUBE02","EUPM_Mittel2_Cube",Datenstand,"Alle Beteiligungen","Alle Koordinatoren","Alle Unternehmensgrößen","-2","Alle Organisationstypen",5,"Alle Expertevaluierungsstatus",$B9,"-2",-2,"-2","Alle","-2","anzahl_beteiligungen"),"-  ")</f>
        <v>2.9923372518702109E-2</v>
      </c>
      <c r="H9" s="226">
        <f ca="1">_xll.PALO.DATAC("jedoxtest/EU_PM_CUBE02","EUPM_Mittel2_Cube",Datenstand,"Alle Beteiligungen","Alle Koordinatoren","Alle Unternehmensgrößen","-2","Alle Organisationstypen",14,"Alle Expertevaluierungsstatus",$B9,"-2","-2","-2","Alle","-2","anzahl_beteiligungen")</f>
        <v>6315</v>
      </c>
      <c r="I9" s="226">
        <f ca="1">_xll.PALO.DATAC("jedoxtest/EU_PM_CUBE02","EUPM_Mittel2_Cube",Datenstand,"Alle Beteiligungen","Alle Koordinatoren","Alle Unternehmensgrößen","-2","Alle Organisationstypen",14,"Alle Expertevaluierungsstatus",$B9,"-2",1000001,"-2","Alle","-2","anzahl_beteiligungen")</f>
        <v>4682</v>
      </c>
      <c r="J9" s="230">
        <f ca="1">_xll.PALO.DATAC("jedoxtest/EU_PM_CUBE02","EUPM_Mittel2_Cube",Datenstand,"Alle Beteiligungen","Alle Koordinatoren","Alle Unternehmensgrößen","-2","Alle Organisationstypen",14,"Alle Expertevaluierungsstatus",$B9,"-2",1,"-2","Alle","-2","anzahl_beteiligungen")</f>
        <v>217</v>
      </c>
      <c r="K9" s="227">
        <f ca="1">IFERROR(_xll.PALO.DATAC("jedoxtest/EU_PM_CUBE02","EUPM_Mittel2_Cube",Datenstand,"Alle Beteiligungen","Alle Koordinatoren","Alle Unternehmensgrößen","-2","Alle Organisationstypen",14,"Alle Expertevaluierungsstatus",$B9,"-2",1,"-2","Alle","-2","anzahl_beteiligungen")/_xll.PALO.DATAC("jedoxtest/EU_PM_CUBE02","EUPM_Mittel2_Cube",Datenstand,"Alle Beteiligungen","Alle Koordinatoren","Alle Unternehmensgrößen","-2","Alle Organisationstypen",14,"Alle Expertevaluierungsstatus",$B9,"-2",-2,"-2","Alle","-2","anzahl_beteiligungen"),"-  ")</f>
        <v>3.436262866191607E-2</v>
      </c>
      <c r="L9" s="227">
        <f t="shared" ca="1" si="0"/>
        <v>0.14359125946474455</v>
      </c>
      <c r="M9" s="227">
        <f t="shared" ca="1" si="0"/>
        <v>0.13854530390010061</v>
      </c>
      <c r="N9" s="227">
        <f t="shared" ca="1" si="0"/>
        <v>0.16489361702127658</v>
      </c>
      <c r="O9" s="226">
        <f ca="1">_xll.PALO.DATAC("jedoxtest/EU_PM_CUBE02","EUPM_Mittel2_Cube",Datenstand,"Alle Beteiligungen","Alle Koordinatoren","Alle Unternehmensgrößen","-2","Alle Organisationstypen",14,"Alle Expertevaluierungsstatus",$B9,"-2","-2","-2","Alle","-2","anzahl_koordinatoren")</f>
        <v>5579</v>
      </c>
      <c r="P9" s="226">
        <f ca="1">_xll.PALO.DATAC("jedoxtest/EU_PM_CUBE02","EUPM_Mittel2_Cube",Datenstand,"Alle Beteiligungen","Alle Koordinatoren","Alle Unternehmensgrößen","-2","Alle Organisationstypen",14,"Alle Expertevaluierungsstatus",$B9,"-2",1000001,"-2","Alle","-2","anzahl_koordinatoren")</f>
        <v>4215</v>
      </c>
      <c r="Q9" s="230">
        <f ca="1">_xll.PALO.DATAC("jedoxtest/EU_PM_CUBE02","EUPM_Mittel2_Cube",Datenstand,"Alle Beteiligungen","Alle Koordinatoren","Alle Unternehmensgrößen","-2","Alle Organisationstypen",14,"Alle Expertevaluierungsstatus",$B9,"-2",1,"-2","Alle","-2","anzahl_koordinatoren")</f>
        <v>202</v>
      </c>
      <c r="R9" s="227">
        <f ca="1">IFERROR(_xll.PALO.DATAC("jedoxtest/EU_PM_CUBE02","EUPM_Mittel2_Cube",Datenstand,"Alle Beteiligungen","Alle Koordinatoren","Alle Unternehmensgrößen","-2","Alle Organisationstypen",14,"Alle Expertevaluierungsstatus",$B9,"-2",1,"-2","Alle","-2","anzahl_koordinatoren")/_xll.PALO.DATAC("jedoxtest/EU_PM_CUBE02","EUPM_Mittel2_Cube",Datenstand,"Alle Beteiligungen","Alle Koordinatoren","Alle Unternehmensgrößen","-2","Alle Organisationstypen",14,"Alle Expertevaluierungsstatus",$B9,"-2",-2,"-2","Alle","-2","anzahl_koordinatoren"),"-  ")</f>
        <v>3.6207205592400073E-2</v>
      </c>
      <c r="S9" s="228">
        <f ca="1">_xll.PALO.DATAC("jedoxtest/EU_PM_CUBE02","EUPM_Mittel2_Cube",Datenstand,"Alle Beteiligungen","Alle Koordinatoren","Alle Unternehmensgrößen","-2","Alle Organisationstypen",14,"Alle Expertevaluierungsstatus",$B9,"-2","-2","-2","Alle","-2","foerderung")/1000000</f>
        <v>10016.903928760001</v>
      </c>
      <c r="T9" s="228">
        <f ca="1">_xll.PALO.DATAC("jedoxtest/EU_PM_CUBE02","EUPM_Mittel2_Cube",Datenstand,"Alle Beteiligungen","Alle Koordinatoren","Alle Unternehmensgrößen","-2","Alle Organisationstypen",14,"Alle Expertevaluierungsstatus",$B9,"-2",1000001,"-2","Alle","-2","foerderung")/1000000</f>
        <v>7425.9323561400006</v>
      </c>
      <c r="U9" s="228">
        <f ca="1">_xll.PALO.DATAC("jedoxtest/EU_PM_CUBE02","EUPM_Mittel2_Cube",Datenstand,"Alle Beteiligungen","Alle Koordinatoren","Alle Unternehmensgrößen","-2","Alle Organisationstypen",14,"Alle Expertevaluierungsstatus",$B9,"-2",1,"-2","Alle","-2","foerderung")/1000000</f>
        <v>363.69674550000002</v>
      </c>
      <c r="V9" s="224">
        <f ca="1">IFERROR(_xll.PALO.DATAC("jedoxtest/EU_PM_CUBE02","EUPM_Mittel2_Cube",Datenstand,"Alle Beteiligungen","Alle Koordinatoren","Alle Unternehmensgrößen","-2","Alle Organisationstypen",14,"Alle Expertevaluierungsstatus",$B9,"-2",1,"-2","Alle","-2","foerderung")/_xll.PALO.DATAC("jedoxtest/EU_PM_CUBE02","EUPM_Mittel2_Cube",Datenstand,"Alle Beteiligungen","Alle Koordinatoren","Alle Unternehmensgrößen","-2","Alle Organisationstypen",14,"Alle Expertevaluierungsstatus",$B9,"-2",-2,"-2","Alle","-2","foerderung"),"-  ")</f>
        <v>3.6308299259591906E-2</v>
      </c>
    </row>
    <row r="10" spans="2:23" ht="15" customHeight="1">
      <c r="B10" t="s">
        <v>142</v>
      </c>
      <c r="C10" s="473" t="str">
        <f ca="1">_xll.PALO.DATA("jedoxtest/EU_PM_CUBE02","#_Programme","Langbezeichnung",$B10)</f>
        <v>Marie Skłodowska-Curie Actions (MSCA)</v>
      </c>
      <c r="D10" s="226">
        <f ca="1">_xll.PALO.DATAC("jedoxtest/EU_PM_CUBE02","EUPM_Mittel2_Cube",Datenstand,"Alle Beteiligungen","Alle Koordinatoren","Alle Unternehmensgrößen","-2","Alle Organisationstypen",5,"Alle Expertevaluierungsstatus",$B10,"-2","-2","-2","Alle","-2","anzahl_beteiligungen")</f>
        <v>185647</v>
      </c>
      <c r="E10" s="226">
        <f ca="1">_xll.PALO.DATAC("jedoxtest/EU_PM_CUBE02","EUPM_Mittel2_Cube",Datenstand,"Alle Beteiligungen","Alle Koordinatoren","Alle Unternehmensgrößen","-2","Alle Organisationstypen",5,"Alle Expertevaluierungsstatus",$B10,"-2",1000001,"-2","Alle","-2","anzahl_beteiligungen")</f>
        <v>139267</v>
      </c>
      <c r="F10" s="230">
        <f ca="1">_xll.PALO.DATAC("jedoxtest/EU_PM_CUBE02","EUPM_Mittel2_Cube",Datenstand,"Alle Beteiligungen","Alle Koordinatoren","Alle Unternehmensgrößen","-2","Alle Organisationstypen",5,"Alle Expertevaluierungsstatus",$B10,"-2",1,"-2","Alle","-2","anzahl_beteiligungen")</f>
        <v>4504</v>
      </c>
      <c r="G10" s="227">
        <f ca="1">IFERROR(_xll.PALO.DATAC("jedoxtest/EU_PM_CUBE02","EUPM_Mittel2_Cube",Datenstand,"Alle Beteiligungen","Alle Koordinatoren","Alle Unternehmensgrößen","-2","Alle Organisationstypen",5,"Alle Expertevaluierungsstatus",$B10,"-2",1,"-2","Alle","-2","anzahl_beteiligungen")/_xll.PALO.DATAC("jedoxtest/EU_PM_CUBE02","EUPM_Mittel2_Cube",Datenstand,"Alle Beteiligungen","Alle Koordinatoren","Alle Unternehmensgrößen","-2","Alle Organisationstypen",5,"Alle Expertevaluierungsstatus",$B10,"-2",-2,"-2","Alle","-2","anzahl_beteiligungen"),"-  ")</f>
        <v>2.4261097674619037E-2</v>
      </c>
      <c r="H10" s="226">
        <f ca="1">_xll.PALO.DATAC("jedoxtest/EU_PM_CUBE02","EUPM_Mittel2_Cube",Datenstand,"Alle Beteiligungen","Alle Koordinatoren","Alle Unternehmensgrößen","-2","Alle Organisationstypen",14,"Alle Expertevaluierungsstatus",$B10,"-2","-2","-2","Alle","-2","anzahl_beteiligungen")</f>
        <v>28516</v>
      </c>
      <c r="I10" s="226">
        <f ca="1">_xll.PALO.DATAC("jedoxtest/EU_PM_CUBE02","EUPM_Mittel2_Cube",Datenstand,"Alle Beteiligungen","Alle Koordinatoren","Alle Unternehmensgrößen","-2","Alle Organisationstypen",14,"Alle Expertevaluierungsstatus",$B10,"-2",1000001,"-2","Alle","-2","anzahl_beteiligungen")</f>
        <v>21078</v>
      </c>
      <c r="J10" s="230">
        <f ca="1">_xll.PALO.DATAC("jedoxtest/EU_PM_CUBE02","EUPM_Mittel2_Cube",Datenstand,"Alle Beteiligungen","Alle Koordinatoren","Alle Unternehmensgrößen","-2","Alle Organisationstypen",14,"Alle Expertevaluierungsstatus",$B10,"-2",1,"-2","Alle","-2","anzahl_beteiligungen")</f>
        <v>679</v>
      </c>
      <c r="K10" s="227">
        <f ca="1">IFERROR(_xll.PALO.DATAC("jedoxtest/EU_PM_CUBE02","EUPM_Mittel2_Cube",Datenstand,"Alle Beteiligungen","Alle Koordinatoren","Alle Unternehmensgrößen","-2","Alle Organisationstypen",14,"Alle Expertevaluierungsstatus",$B10,"-2",1,"-2","Alle","-2","anzahl_beteiligungen")/_xll.PALO.DATAC("jedoxtest/EU_PM_CUBE02","EUPM_Mittel2_Cube",Datenstand,"Alle Beteiligungen","Alle Koordinatoren","Alle Unternehmensgrößen","-2","Alle Organisationstypen",14,"Alle Expertevaluierungsstatus",$B10,"-2",-2,"-2","Alle","-2","anzahl_beteiligungen"),"-  ")</f>
        <v>2.3811193715808667E-2</v>
      </c>
      <c r="L10" s="227">
        <f t="shared" ca="1" si="0"/>
        <v>0.15360334398078074</v>
      </c>
      <c r="M10" s="227">
        <f t="shared" ca="1" si="0"/>
        <v>0.15134956594168036</v>
      </c>
      <c r="N10" s="227">
        <f t="shared" ca="1" si="0"/>
        <v>0.15075488454706928</v>
      </c>
      <c r="O10" s="226">
        <f ca="1">_xll.PALO.DATAC("jedoxtest/EU_PM_CUBE02","EUPM_Mittel2_Cube",Datenstand,"Alle Beteiligungen","Alle Koordinatoren","Alle Unternehmensgrößen","-2","Alle Organisationstypen",14,"Alle Expertevaluierungsstatus",$B10,"-2","-2","-2","Alle","-2","anzahl_koordinatoren")</f>
        <v>8247</v>
      </c>
      <c r="P10" s="226">
        <f ca="1">_xll.PALO.DATAC("jedoxtest/EU_PM_CUBE02","EUPM_Mittel2_Cube",Datenstand,"Alle Beteiligungen","Alle Koordinatoren","Alle Unternehmensgrößen","-2","Alle Organisationstypen",14,"Alle Expertevaluierungsstatus",$B10,"-2",1000001,"-2","Alle","-2","anzahl_koordinatoren")</f>
        <v>6303</v>
      </c>
      <c r="Q10" s="230">
        <f ca="1">_xll.PALO.DATAC("jedoxtest/EU_PM_CUBE02","EUPM_Mittel2_Cube",Datenstand,"Alle Beteiligungen","Alle Koordinatoren","Alle Unternehmensgrößen","-2","Alle Organisationstypen",14,"Alle Expertevaluierungsstatus",$B10,"-2",1,"-2","Alle","-2","anzahl_koordinatoren")</f>
        <v>228</v>
      </c>
      <c r="R10" s="227">
        <f ca="1">IFERROR(_xll.PALO.DATAC("jedoxtest/EU_PM_CUBE02","EUPM_Mittel2_Cube",Datenstand,"Alle Beteiligungen","Alle Koordinatoren","Alle Unternehmensgrößen","-2","Alle Organisationstypen",14,"Alle Expertevaluierungsstatus",$B10,"-2",1,"-2","Alle","-2","anzahl_koordinatoren")/_xll.PALO.DATAC("jedoxtest/EU_PM_CUBE02","EUPM_Mittel2_Cube",Datenstand,"Alle Beteiligungen","Alle Koordinatoren","Alle Unternehmensgrößen","-2","Alle Organisationstypen",14,"Alle Expertevaluierungsstatus",$B10,"-2",-2,"-2","Alle","-2","anzahl_koordinatoren"),"-  ")</f>
        <v>2.7646416878865043E-2</v>
      </c>
      <c r="S10" s="228">
        <f ca="1">_xll.PALO.DATAC("jedoxtest/EU_PM_CUBE02","EUPM_Mittel2_Cube",Datenstand,"Alle Beteiligungen","Alle Koordinatoren","Alle Unternehmensgrößen","-2","Alle Organisationstypen",14,"Alle Expertevaluierungsstatus",$B10,"-2","-2","-2","Alle","-2","foerderung")/1000000</f>
        <v>5013.1149984500307</v>
      </c>
      <c r="T10" s="228">
        <f ca="1">_xll.PALO.DATAC("jedoxtest/EU_PM_CUBE02","EUPM_Mittel2_Cube",Datenstand,"Alle Beteiligungen","Alle Koordinatoren","Alle Unternehmensgrößen","-2","Alle Organisationstypen",14,"Alle Expertevaluierungsstatus",$B10,"-2",1000001,"-2","Alle","-2","foerderung")/1000000</f>
        <v>3883.9054251999896</v>
      </c>
      <c r="U10" s="228">
        <f ca="1">_xll.PALO.DATAC("jedoxtest/EU_PM_CUBE02","EUPM_Mittel2_Cube",Datenstand,"Alle Beteiligungen","Alle Koordinatoren","Alle Unternehmensgrößen","-2","Alle Organisationstypen",14,"Alle Expertevaluierungsstatus",$B10,"-2",1,"-2","Alle","-2","foerderung")/1000000</f>
        <v>132.78435956000001</v>
      </c>
      <c r="V10" s="224">
        <f ca="1">IFERROR(_xll.PALO.DATAC("jedoxtest/EU_PM_CUBE02","EUPM_Mittel2_Cube",Datenstand,"Alle Beteiligungen","Alle Koordinatoren","Alle Unternehmensgrößen","-2","Alle Organisationstypen",14,"Alle Expertevaluierungsstatus",$B10,"-2",1,"-2","Alle","-2","foerderung")/_xll.PALO.DATAC("jedoxtest/EU_PM_CUBE02","EUPM_Mittel2_Cube",Datenstand,"Alle Beteiligungen","Alle Koordinatoren","Alle Unternehmensgrößen","-2","Alle Organisationstypen",14,"Alle Expertevaluierungsstatus",$B10,"-2",-2,"-2","Alle","-2","foerderung"),"-  ")</f>
        <v>2.6487395481862009E-2</v>
      </c>
    </row>
    <row r="11" spans="2:23" ht="15" customHeight="1">
      <c r="B11" t="s">
        <v>143</v>
      </c>
      <c r="C11" s="473" t="str">
        <f ca="1">_xll.PALO.DATA("jedoxtest/EU_PM_CUBE02","#_Programme","Langbezeichnung",$B11)</f>
        <v>Research infrastructures</v>
      </c>
      <c r="D11" s="226">
        <f ca="1">_xll.PALO.DATAC("jedoxtest/EU_PM_CUBE02","EUPM_Mittel2_Cube",Datenstand,"Alle Beteiligungen","Alle Koordinatoren","Alle Unternehmensgrößen","-2","Alle Organisationstypen",5,"Alle Expertevaluierungsstatus",$B11,"-2","-2","-2","Alle","-2","anzahl_beteiligungen")</f>
        <v>10466</v>
      </c>
      <c r="E11" s="226">
        <f ca="1">_xll.PALO.DATAC("jedoxtest/EU_PM_CUBE02","EUPM_Mittel2_Cube",Datenstand,"Alle Beteiligungen","Alle Koordinatoren","Alle Unternehmensgrößen","-2","Alle Organisationstypen",5,"Alle Expertevaluierungsstatus",$B11,"-2",1000001,"-2","Alle","-2","anzahl_beteiligungen")</f>
        <v>8440</v>
      </c>
      <c r="F11" s="230">
        <f ca="1">_xll.PALO.DATAC("jedoxtest/EU_PM_CUBE02","EUPM_Mittel2_Cube",Datenstand,"Alle Beteiligungen","Alle Koordinatoren","Alle Unternehmensgrößen","-2","Alle Organisationstypen",5,"Alle Expertevaluierungsstatus",$B11,"-2",1,"-2","Alle","-2","anzahl_beteiligungen")</f>
        <v>244</v>
      </c>
      <c r="G11" s="227">
        <f ca="1">IFERROR(_xll.PALO.DATAC("jedoxtest/EU_PM_CUBE02","EUPM_Mittel2_Cube",Datenstand,"Alle Beteiligungen","Alle Koordinatoren","Alle Unternehmensgrößen","-2","Alle Organisationstypen",5,"Alle Expertevaluierungsstatus",$B11,"-2",1,"-2","Alle","-2","anzahl_beteiligungen")/_xll.PALO.DATAC("jedoxtest/EU_PM_CUBE02","EUPM_Mittel2_Cube",Datenstand,"Alle Beteiligungen","Alle Koordinatoren","Alle Unternehmensgrößen","-2","Alle Organisationstypen",5,"Alle Expertevaluierungsstatus",$B11,"-2",-2,"-2","Alle","-2","anzahl_beteiligungen"),"-  ")</f>
        <v>2.3313586852665776E-2</v>
      </c>
      <c r="H11" s="226">
        <f ca="1">_xll.PALO.DATAC("jedoxtest/EU_PM_CUBE02","EUPM_Mittel2_Cube",Datenstand,"Alle Beteiligungen","Alle Koordinatoren","Alle Unternehmensgrößen","-2","Alle Organisationstypen",14,"Alle Expertevaluierungsstatus",$B11,"-2","-2","-2","Alle","-2","anzahl_beteiligungen")</f>
        <v>5104</v>
      </c>
      <c r="I11" s="226">
        <f ca="1">_xll.PALO.DATAC("jedoxtest/EU_PM_CUBE02","EUPM_Mittel2_Cube",Datenstand,"Alle Beteiligungen","Alle Koordinatoren","Alle Unternehmensgrößen","-2","Alle Organisationstypen",14,"Alle Expertevaluierungsstatus",$B11,"-2",1000001,"-2","Alle","-2","anzahl_beteiligungen")</f>
        <v>4165</v>
      </c>
      <c r="J11" s="230">
        <f ca="1">_xll.PALO.DATAC("jedoxtest/EU_PM_CUBE02","EUPM_Mittel2_Cube",Datenstand,"Alle Beteiligungen","Alle Koordinatoren","Alle Unternehmensgrößen","-2","Alle Organisationstypen",14,"Alle Expertevaluierungsstatus",$B11,"-2",1,"-2","Alle","-2","anzahl_beteiligungen")</f>
        <v>113</v>
      </c>
      <c r="K11" s="227">
        <f ca="1">IFERROR(_xll.PALO.DATAC("jedoxtest/EU_PM_CUBE02","EUPM_Mittel2_Cube",Datenstand,"Alle Beteiligungen","Alle Koordinatoren","Alle Unternehmensgrößen","-2","Alle Organisationstypen",14,"Alle Expertevaluierungsstatus",$B11,"-2",1,"-2","Alle","-2","anzahl_beteiligungen")/_xll.PALO.DATAC("jedoxtest/EU_PM_CUBE02","EUPM_Mittel2_Cube",Datenstand,"Alle Beteiligungen","Alle Koordinatoren","Alle Unternehmensgrößen","-2","Alle Organisationstypen",14,"Alle Expertevaluierungsstatus",$B11,"-2",-2,"-2","Alle","-2","anzahl_beteiligungen"),"-  ")</f>
        <v>2.2139498432601882E-2</v>
      </c>
      <c r="L11" s="227">
        <f t="shared" ca="1" si="0"/>
        <v>0.48767437416395948</v>
      </c>
      <c r="M11" s="227">
        <f t="shared" ca="1" si="0"/>
        <v>0.49348341232227488</v>
      </c>
      <c r="N11" s="227">
        <f t="shared" ca="1" si="0"/>
        <v>0.46311475409836067</v>
      </c>
      <c r="O11" s="226">
        <f ca="1">_xll.PALO.DATAC("jedoxtest/EU_PM_CUBE02","EUPM_Mittel2_Cube",Datenstand,"Alle Beteiligungen","Alle Koordinatoren","Alle Unternehmensgrößen","-2","Alle Organisationstypen",14,"Alle Expertevaluierungsstatus",$B11,"-2","-2","-2","Alle","-2","anzahl_koordinatoren")</f>
        <v>245</v>
      </c>
      <c r="P11" s="226">
        <f ca="1">_xll.PALO.DATAC("jedoxtest/EU_PM_CUBE02","EUPM_Mittel2_Cube",Datenstand,"Alle Beteiligungen","Alle Koordinatoren","Alle Unternehmensgrößen","-2","Alle Organisationstypen",14,"Alle Expertevaluierungsstatus",$B11,"-2",1000001,"-2","Alle","-2","anzahl_koordinatoren")</f>
        <v>218</v>
      </c>
      <c r="Q11" s="230">
        <f ca="1">_xll.PALO.DATAC("jedoxtest/EU_PM_CUBE02","EUPM_Mittel2_Cube",Datenstand,"Alle Beteiligungen","Alle Koordinatoren","Alle Unternehmensgrößen","-2","Alle Organisationstypen",14,"Alle Expertevaluierungsstatus",$B11,"-2",1,"-2","Alle","-2","anzahl_koordinatoren")</f>
        <v>6</v>
      </c>
      <c r="R11" s="227">
        <f ca="1">IFERROR(_xll.PALO.DATAC("jedoxtest/EU_PM_CUBE02","EUPM_Mittel2_Cube",Datenstand,"Alle Beteiligungen","Alle Koordinatoren","Alle Unternehmensgrößen","-2","Alle Organisationstypen",14,"Alle Expertevaluierungsstatus",$B11,"-2",1,"-2","Alle","-2","anzahl_koordinatoren")/_xll.PALO.DATAC("jedoxtest/EU_PM_CUBE02","EUPM_Mittel2_Cube",Datenstand,"Alle Beteiligungen","Alle Koordinatoren","Alle Unternehmensgrößen","-2","Alle Organisationstypen",14,"Alle Expertevaluierungsstatus",$B11,"-2",-2,"-2","Alle","-2","anzahl_koordinatoren"),"-  ")</f>
        <v>2.4489795918367346E-2</v>
      </c>
      <c r="S11" s="228">
        <f ca="1">_xll.PALO.DATAC("jedoxtest/EU_PM_CUBE02","EUPM_Mittel2_Cube",Datenstand,"Alle Beteiligungen","Alle Koordinatoren","Alle Unternehmensgrößen","-2","Alle Organisationstypen",14,"Alle Expertevaluierungsstatus",$B11,"-2","-2","-2","Alle","-2","foerderung")/1000000</f>
        <v>1605.40814931</v>
      </c>
      <c r="T11" s="228">
        <f ca="1">_xll.PALO.DATAC("jedoxtest/EU_PM_CUBE02","EUPM_Mittel2_Cube",Datenstand,"Alle Beteiligungen","Alle Koordinatoren","Alle Unternehmensgrößen","-2","Alle Organisationstypen",14,"Alle Expertevaluierungsstatus",$B11,"-2",1000001,"-2","Alle","-2","foerderung")/1000000</f>
        <v>1371.50075666</v>
      </c>
      <c r="U11" s="228">
        <f ca="1">_xll.PALO.DATAC("jedoxtest/EU_PM_CUBE02","EUPM_Mittel2_Cube",Datenstand,"Alle Beteiligungen","Alle Koordinatoren","Alle Unternehmensgrößen","-2","Alle Organisationstypen",14,"Alle Expertevaluierungsstatus",$B11,"-2",1,"-2","Alle","-2","foerderung")/1000000</f>
        <v>33.778423009999997</v>
      </c>
      <c r="V11" s="224">
        <f ca="1">IFERROR(_xll.PALO.DATAC("jedoxtest/EU_PM_CUBE02","EUPM_Mittel2_Cube",Datenstand,"Alle Beteiligungen","Alle Koordinatoren","Alle Unternehmensgrößen","-2","Alle Organisationstypen",14,"Alle Expertevaluierungsstatus",$B11,"-2",1,"-2","Alle","-2","foerderung")/_xll.PALO.DATAC("jedoxtest/EU_PM_CUBE02","EUPM_Mittel2_Cube",Datenstand,"Alle Beteiligungen","Alle Koordinatoren","Alle Unternehmensgrößen","-2","Alle Organisationstypen",14,"Alle Expertevaluierungsstatus",$B11,"-2",-2,"-2","Alle","-2","foerderung"),"-  ")</f>
        <v>2.1040395879713125E-2</v>
      </c>
    </row>
    <row r="12" spans="2:23" ht="15" customHeight="1">
      <c r="B12" t="s">
        <v>144</v>
      </c>
      <c r="C12" s="361" t="str">
        <f ca="1">_xll.PALO.DATA("jedoxtest/EU_PM_CUBE02","#_Programme","Langbezeichnung",$B12)</f>
        <v>Global Challenges and European Industrial Competitiveness</v>
      </c>
      <c r="D12" s="206">
        <f ca="1">_xll.PALO.DATAC("jedoxtest/EU_PM_CUBE02","EUPM_Mittel2_Cube",Datenstand,"Alle Beteiligungen","Alle Koordinatoren","Alle Unternehmensgrößen","-2","Alle Organisationstypen",5,"Alle Expertevaluierungsstatus",$B12,"-2","-2","-2","Alle","-2","anzahl_beteiligungen")</f>
        <v>416456</v>
      </c>
      <c r="E12" s="206">
        <f ca="1">_xll.PALO.DATAC("jedoxtest/EU_PM_CUBE02","EUPM_Mittel2_Cube",Datenstand,"Alle Beteiligungen","Alle Koordinatoren","Alle Unternehmensgrößen","-2","Alle Organisationstypen",5,"Alle Expertevaluierungsstatus",$B12,"-2",1000001,"-2","Alle","-2","anzahl_beteiligungen")</f>
        <v>343210</v>
      </c>
      <c r="F12" s="362">
        <f ca="1">_xll.PALO.DATAC("jedoxtest/EU_PM_CUBE02","EUPM_Mittel2_Cube",Datenstand,"Alle Beteiligungen","Alle Koordinatoren","Alle Unternehmensgrößen","-2","Alle Organisationstypen",5,"Alle Expertevaluierungsstatus",$B12,"-2",1,"-2","Alle","-2","anzahl_beteiligungen")</f>
        <v>12205</v>
      </c>
      <c r="G12" s="325">
        <f ca="1">IFERROR(_xll.PALO.DATAC("jedoxtest/EU_PM_CUBE02","EUPM_Mittel2_Cube",Datenstand,"Alle Beteiligungen","Alle Koordinatoren","Alle Unternehmensgrößen","-2","Alle Organisationstypen",5,"Alle Expertevaluierungsstatus",$B12,"-2",1,"-2","Alle","-2","anzahl_beteiligungen")/_xll.PALO.DATAC("jedoxtest/EU_PM_CUBE02","EUPM_Mittel2_Cube",Datenstand,"Alle Beteiligungen","Alle Koordinatoren","Alle Unternehmensgrößen","-2","Alle Organisationstypen",5,"Alle Expertevaluierungsstatus",$B12,"-2",-2,"-2","Alle","-2","anzahl_beteiligungen"),"-  ")</f>
        <v>2.9306817526941621E-2</v>
      </c>
      <c r="H12" s="206">
        <f ca="1">_xll.PALO.DATAC("jedoxtest/EU_PM_CUBE02","EUPM_Mittel2_Cube",Datenstand,"Alle Beteiligungen","Alle Koordinatoren","Alle Unternehmensgrößen","-2","Alle Organisationstypen",14,"Alle Expertevaluierungsstatus",$B12,"-2","-2","-2","Alle","-2","anzahl_beteiligungen")</f>
        <v>83486</v>
      </c>
      <c r="I12" s="206">
        <f ca="1">_xll.PALO.DATAC("jedoxtest/EU_PM_CUBE02","EUPM_Mittel2_Cube",Datenstand,"Alle Beteiligungen","Alle Koordinatoren","Alle Unternehmensgrößen","-2","Alle Organisationstypen",14,"Alle Expertevaluierungsstatus",$B12,"-2",1000001,"-2","Alle","-2","anzahl_beteiligungen")</f>
        <v>70116</v>
      </c>
      <c r="J12" s="362">
        <f ca="1">_xll.PALO.DATAC("jedoxtest/EU_PM_CUBE02","EUPM_Mittel2_Cube",Datenstand,"Alle Beteiligungen","Alle Koordinatoren","Alle Unternehmensgrößen","-2","Alle Organisationstypen",14,"Alle Expertevaluierungsstatus",$B12,"-2",1,"-2","Alle","-2","anzahl_beteiligungen")</f>
        <v>2585</v>
      </c>
      <c r="K12" s="325">
        <f ca="1">IFERROR(_xll.PALO.DATAC("jedoxtest/EU_PM_CUBE02","EUPM_Mittel2_Cube",Datenstand,"Alle Beteiligungen","Alle Koordinatoren","Alle Unternehmensgrößen","-2","Alle Organisationstypen",14,"Alle Expertevaluierungsstatus",$B12,"-2",1,"-2","Alle","-2","anzahl_beteiligungen")/_xll.PALO.DATAC("jedoxtest/EU_PM_CUBE02","EUPM_Mittel2_Cube",Datenstand,"Alle Beteiligungen","Alle Koordinatoren","Alle Unternehmensgrößen","-2","Alle Organisationstypen",14,"Alle Expertevaluierungsstatus",$B12,"-2",-2,"-2","Alle","-2","anzahl_beteiligungen"),"-  ")</f>
        <v>3.0963275279687612E-2</v>
      </c>
      <c r="L12" s="325">
        <f t="shared" ca="1" si="0"/>
        <v>0.20046775649768522</v>
      </c>
      <c r="M12" s="325">
        <f t="shared" ca="1" si="0"/>
        <v>0.20429474665656594</v>
      </c>
      <c r="N12" s="325">
        <f t="shared" ca="1" si="0"/>
        <v>0.21179844326095862</v>
      </c>
      <c r="O12" s="206">
        <f ca="1">_xll.PALO.DATAC("jedoxtest/EU_PM_CUBE02","EUPM_Mittel2_Cube",Datenstand,"Alle Beteiligungen","Alle Koordinatoren","Alle Unternehmensgrößen","-2","Alle Organisationstypen",14,"Alle Expertevaluierungsstatus",$B12,"-2","-2","-2","Alle","-2","anzahl_koordinatoren")</f>
        <v>5287</v>
      </c>
      <c r="P12" s="206">
        <f ca="1">_xll.PALO.DATAC("jedoxtest/EU_PM_CUBE02","EUPM_Mittel2_Cube",Datenstand,"Alle Beteiligungen","Alle Koordinatoren","Alle Unternehmensgrößen","-2","Alle Organisationstypen",14,"Alle Expertevaluierungsstatus",$B12,"-2",1000001,"-2","Alle","-2","anzahl_koordinatoren")</f>
        <v>4715</v>
      </c>
      <c r="Q12" s="362">
        <f ca="1">_xll.PALO.DATAC("jedoxtest/EU_PM_CUBE02","EUPM_Mittel2_Cube",Datenstand,"Alle Beteiligungen","Alle Koordinatoren","Alle Unternehmensgrößen","-2","Alle Organisationstypen",14,"Alle Expertevaluierungsstatus",$B12,"-2",1,"-2","Alle","-2","anzahl_koordinatoren")</f>
        <v>185</v>
      </c>
      <c r="R12" s="325">
        <f ca="1">IFERROR(_xll.PALO.DATAC("jedoxtest/EU_PM_CUBE02","EUPM_Mittel2_Cube",Datenstand,"Alle Beteiligungen","Alle Koordinatoren","Alle Unternehmensgrößen","-2","Alle Organisationstypen",14,"Alle Expertevaluierungsstatus",$B12,"-2",1,"-2","Alle","-2","anzahl_koordinatoren")/_xll.PALO.DATAC("jedoxtest/EU_PM_CUBE02","EUPM_Mittel2_Cube",Datenstand,"Alle Beteiligungen","Alle Koordinatoren","Alle Unternehmensgrößen","-2","Alle Organisationstypen",14,"Alle Expertevaluierungsstatus",$B12,"-2",-2,"-2","Alle","-2","anzahl_koordinatoren"),"-  ")</f>
        <v>3.4991488556837529E-2</v>
      </c>
      <c r="S12" s="326">
        <f ca="1">_xll.PALO.DATAC("jedoxtest/EU_PM_CUBE02","EUPM_Mittel2_Cube",Datenstand,"Alle Beteiligungen","Alle Koordinatoren","Alle Unternehmensgrößen","-2","Alle Organisationstypen",14,"Alle Expertevaluierungsstatus",$B12,"-2","-2","-2","Alle","-2","foerderung")/1000000</f>
        <v>37573.675092429803</v>
      </c>
      <c r="T12" s="326">
        <f ca="1">_xll.PALO.DATAC("jedoxtest/EU_PM_CUBE02","EUPM_Mittel2_Cube",Datenstand,"Alle Beteiligungen","Alle Koordinatoren","Alle Unternehmensgrößen","-2","Alle Organisationstypen",14,"Alle Expertevaluierungsstatus",$B12,"-2",1000001,"-2","Alle","-2","foerderung")/1000000</f>
        <v>32294.0713003602</v>
      </c>
      <c r="U12" s="326">
        <f ca="1">_xll.PALO.DATAC("jedoxtest/EU_PM_CUBE02","EUPM_Mittel2_Cube",Datenstand,"Alle Beteiligungen","Alle Koordinatoren","Alle Unternehmensgrößen","-2","Alle Organisationstypen",14,"Alle Expertevaluierungsstatus",$B12,"-2",1,"-2","Alle","-2","foerderung")/1000000</f>
        <v>1162.54031231</v>
      </c>
      <c r="V12" s="224">
        <f ca="1">IFERROR(_xll.PALO.DATAC("jedoxtest/EU_PM_CUBE02","EUPM_Mittel2_Cube",Datenstand,"Alle Beteiligungen","Alle Koordinatoren","Alle Unternehmensgrößen","-2","Alle Organisationstypen",14,"Alle Expertevaluierungsstatus",$B12,"-2",1,"-2","Alle","-2","foerderung")/_xll.PALO.DATAC("jedoxtest/EU_PM_CUBE02","EUPM_Mittel2_Cube",Datenstand,"Alle Beteiligungen","Alle Koordinatoren","Alle Unternehmensgrößen","-2","Alle Organisationstypen",14,"Alle Expertevaluierungsstatus",$B12,"-2",-2,"-2","Alle","-2","foerderung"),"-  ")</f>
        <v>3.0940287567031845E-2</v>
      </c>
    </row>
    <row r="13" spans="2:23" ht="15" customHeight="1">
      <c r="B13" t="s">
        <v>145</v>
      </c>
      <c r="C13" s="473" t="str">
        <f ca="1">_xll.PALO.DATA("jedoxtest/EU_PM_CUBE02","#_Programme","Langbezeichnung",$B13)</f>
        <v>Health</v>
      </c>
      <c r="D13" s="226">
        <f ca="1">_xll.PALO.DATAC("jedoxtest/EU_PM_CUBE02","EUPM_Mittel2_Cube",Datenstand,"Alle Beteiligungen","Alle Koordinatoren","Alle Unternehmensgrößen","-2","Alle Organisationstypen",5,"Alle Expertevaluierungsstatus",$B13,"-2","-2","-2","Alle","-2","anzahl_beteiligungen")</f>
        <v>50523</v>
      </c>
      <c r="E13" s="226">
        <f ca="1">_xll.PALO.DATAC("jedoxtest/EU_PM_CUBE02","EUPM_Mittel2_Cube",Datenstand,"Alle Beteiligungen","Alle Koordinatoren","Alle Unternehmensgrößen","-2","Alle Organisationstypen",5,"Alle Expertevaluierungsstatus",$B13,"-2",1000001,"-2","Alle","-2","anzahl_beteiligungen")</f>
        <v>39157</v>
      </c>
      <c r="F13" s="230">
        <f ca="1">_xll.PALO.DATAC("jedoxtest/EU_PM_CUBE02","EUPM_Mittel2_Cube",Datenstand,"Alle Beteiligungen","Alle Koordinatoren","Alle Unternehmensgrößen","-2","Alle Organisationstypen",5,"Alle Expertevaluierungsstatus",$B13,"-2",1,"-2","Alle","-2","anzahl_beteiligungen")</f>
        <v>1207</v>
      </c>
      <c r="G13" s="227">
        <f ca="1">IFERROR(_xll.PALO.DATAC("jedoxtest/EU_PM_CUBE02","EUPM_Mittel2_Cube",Datenstand,"Alle Beteiligungen","Alle Koordinatoren","Alle Unternehmensgrößen","-2","Alle Organisationstypen",5,"Alle Expertevaluierungsstatus",$B13,"-2",1,"-2","Alle","-2","anzahl_beteiligungen")/_xll.PALO.DATAC("jedoxtest/EU_PM_CUBE02","EUPM_Mittel2_Cube",Datenstand,"Alle Beteiligungen","Alle Koordinatoren","Alle Unternehmensgrößen","-2","Alle Organisationstypen",5,"Alle Expertevaluierungsstatus",$B13,"-2",-2,"-2","Alle","-2","anzahl_beteiligungen"),"-  ")</f>
        <v>2.3890109455099659E-2</v>
      </c>
      <c r="H13" s="226">
        <f ca="1">_xll.PALO.DATAC("jedoxtest/EU_PM_CUBE02","EUPM_Mittel2_Cube",Datenstand,"Alle Beteiligungen","Alle Koordinatoren","Alle Unternehmensgrößen","-2","Alle Organisationstypen",14,"Alle Expertevaluierungsstatus",$B13,"-2","-2","-2","Alle","-2","anzahl_beteiligungen")</f>
        <v>13802</v>
      </c>
      <c r="I13" s="226">
        <f ca="1">_xll.PALO.DATAC("jedoxtest/EU_PM_CUBE02","EUPM_Mittel2_Cube",Datenstand,"Alle Beteiligungen","Alle Koordinatoren","Alle Unternehmensgrößen","-2","Alle Organisationstypen",14,"Alle Expertevaluierungsstatus",$B13,"-2",1000001,"-2","Alle","-2","anzahl_beteiligungen")</f>
        <v>10483</v>
      </c>
      <c r="J13" s="230">
        <f ca="1">_xll.PALO.DATAC("jedoxtest/EU_PM_CUBE02","EUPM_Mittel2_Cube",Datenstand,"Alle Beteiligungen","Alle Koordinatoren","Alle Unternehmensgrößen","-2","Alle Organisationstypen",14,"Alle Expertevaluierungsstatus",$B13,"-2",1,"-2","Alle","-2","anzahl_beteiligungen")</f>
        <v>327</v>
      </c>
      <c r="K13" s="227">
        <f ca="1">IFERROR(_xll.PALO.DATAC("jedoxtest/EU_PM_CUBE02","EUPM_Mittel2_Cube",Datenstand,"Alle Beteiligungen","Alle Koordinatoren","Alle Unternehmensgrößen","-2","Alle Organisationstypen",14,"Alle Expertevaluierungsstatus",$B13,"-2",1,"-2","Alle","-2","anzahl_beteiligungen")/_xll.PALO.DATAC("jedoxtest/EU_PM_CUBE02","EUPM_Mittel2_Cube",Datenstand,"Alle Beteiligungen","Alle Koordinatoren","Alle Unternehmensgrößen","-2","Alle Organisationstypen",14,"Alle Expertevaluierungsstatus",$B13,"-2",-2,"-2","Alle","-2","anzahl_beteiligungen"),"-  ")</f>
        <v>2.369221851905521E-2</v>
      </c>
      <c r="L13" s="227">
        <f t="shared" ca="1" si="0"/>
        <v>0.27318251093561347</v>
      </c>
      <c r="M13" s="227">
        <f t="shared" ca="1" si="0"/>
        <v>0.26771713869806163</v>
      </c>
      <c r="N13" s="227">
        <f t="shared" ca="1" si="0"/>
        <v>0.27091963545981773</v>
      </c>
      <c r="O13" s="226">
        <f ca="1">_xll.PALO.DATAC("jedoxtest/EU_PM_CUBE02","EUPM_Mittel2_Cube",Datenstand,"Alle Beteiligungen","Alle Koordinatoren","Alle Unternehmensgrößen","-2","Alle Organisationstypen",14,"Alle Expertevaluierungsstatus",$B13,"-2","-2","-2","Alle","-2","anzahl_koordinatoren")</f>
        <v>884</v>
      </c>
      <c r="P13" s="226">
        <f ca="1">_xll.PALO.DATAC("jedoxtest/EU_PM_CUBE02","EUPM_Mittel2_Cube",Datenstand,"Alle Beteiligungen","Alle Koordinatoren","Alle Unternehmensgrößen","-2","Alle Organisationstypen",14,"Alle Expertevaluierungsstatus",$B13,"-2",1000001,"-2","Alle","-2","anzahl_koordinatoren")</f>
        <v>744</v>
      </c>
      <c r="Q13" s="230">
        <f ca="1">_xll.PALO.DATAC("jedoxtest/EU_PM_CUBE02","EUPM_Mittel2_Cube",Datenstand,"Alle Beteiligungen","Alle Koordinatoren","Alle Unternehmensgrößen","-2","Alle Organisationstypen",14,"Alle Expertevaluierungsstatus",$B13,"-2",1,"-2","Alle","-2","anzahl_koordinatoren")</f>
        <v>17</v>
      </c>
      <c r="R13" s="227">
        <f ca="1">IFERROR(_xll.PALO.DATAC("jedoxtest/EU_PM_CUBE02","EUPM_Mittel2_Cube",Datenstand,"Alle Beteiligungen","Alle Koordinatoren","Alle Unternehmensgrößen","-2","Alle Organisationstypen",14,"Alle Expertevaluierungsstatus",$B13,"-2",1,"-2","Alle","-2","anzahl_koordinatoren")/_xll.PALO.DATAC("jedoxtest/EU_PM_CUBE02","EUPM_Mittel2_Cube",Datenstand,"Alle Beteiligungen","Alle Koordinatoren","Alle Unternehmensgrößen","-2","Alle Organisationstypen",14,"Alle Expertevaluierungsstatus",$B13,"-2",-2,"-2","Alle","-2","anzahl_koordinatoren"),"-  ")</f>
        <v>1.9230769230769232E-2</v>
      </c>
      <c r="S13" s="228">
        <f ca="1">_xll.PALO.DATAC("jedoxtest/EU_PM_CUBE02","EUPM_Mittel2_Cube",Datenstand,"Alle Beteiligungen","Alle Koordinatoren","Alle Unternehmensgrößen","-2","Alle Organisationstypen",14,"Alle Expertevaluierungsstatus",$B13,"-2","-2","-2","Alle","-2","foerderung")/1000000</f>
        <v>7835.2516034800192</v>
      </c>
      <c r="T13" s="228">
        <f ca="1">_xll.PALO.DATAC("jedoxtest/EU_PM_CUBE02","EUPM_Mittel2_Cube",Datenstand,"Alle Beteiligungen","Alle Koordinatoren","Alle Unternehmensgrößen","-2","Alle Organisationstypen",14,"Alle Expertevaluierungsstatus",$B13,"-2",1000001,"-2","Alle","-2","foerderung")/1000000</f>
        <v>6017.8046698100097</v>
      </c>
      <c r="U13" s="228">
        <f ca="1">_xll.PALO.DATAC("jedoxtest/EU_PM_CUBE02","EUPM_Mittel2_Cube",Datenstand,"Alle Beteiligungen","Alle Koordinatoren","Alle Unternehmensgrößen","-2","Alle Organisationstypen",14,"Alle Expertevaluierungsstatus",$B13,"-2",1,"-2","Alle","-2","foerderung")/1000000</f>
        <v>184.12153239</v>
      </c>
      <c r="V13" s="224">
        <f ca="1">IFERROR(_xll.PALO.DATAC("jedoxtest/EU_PM_CUBE02","EUPM_Mittel2_Cube",Datenstand,"Alle Beteiligungen","Alle Koordinatoren","Alle Unternehmensgrößen","-2","Alle Organisationstypen",14,"Alle Expertevaluierungsstatus",$B13,"-2",1,"-2","Alle","-2","foerderung")/_xll.PALO.DATAC("jedoxtest/EU_PM_CUBE02","EUPM_Mittel2_Cube",Datenstand,"Alle Beteiligungen","Alle Koordinatoren","Alle Unternehmensgrößen","-2","Alle Organisationstypen",14,"Alle Expertevaluierungsstatus",$B13,"-2",-2,"-2","Alle","-2","foerderung"),"-  ")</f>
        <v>2.3499121879918008E-2</v>
      </c>
    </row>
    <row r="14" spans="2:23" ht="15" customHeight="1">
      <c r="B14" t="s">
        <v>146</v>
      </c>
      <c r="C14" s="473"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Organisationstypen",5,"Alle Expertevaluierungsstatus",$B14,"-2","-2","-2","Alle","-2","anzahl_beteiligungen")</f>
        <v>40832</v>
      </c>
      <c r="E14" s="226">
        <f ca="1">_xll.PALO.DATAC("jedoxtest/EU_PM_CUBE02","EUPM_Mittel2_Cube",Datenstand,"Alle Beteiligungen","Alle Koordinatoren","Alle Unternehmensgrößen","-2","Alle Organisationstypen",5,"Alle Expertevaluierungsstatus",$B14,"-2",1000001,"-2","Alle","-2","anzahl_beteiligungen")</f>
        <v>33442</v>
      </c>
      <c r="F14" s="230">
        <f ca="1">_xll.PALO.DATAC("jedoxtest/EU_PM_CUBE02","EUPM_Mittel2_Cube",Datenstand,"Alle Beteiligungen","Alle Koordinatoren","Alle Unternehmensgrößen","-2","Alle Organisationstypen",5,"Alle Expertevaluierungsstatus",$B14,"-2",1,"-2","Alle","-2","anzahl_beteiligungen")</f>
        <v>1270</v>
      </c>
      <c r="G14" s="227">
        <f ca="1">IFERROR(_xll.PALO.DATAC("jedoxtest/EU_PM_CUBE02","EUPM_Mittel2_Cube",Datenstand,"Alle Beteiligungen","Alle Koordinatoren","Alle Unternehmensgrößen","-2","Alle Organisationstypen",5,"Alle Expertevaluierungsstatus",$B14,"-2",1,"-2","Alle","-2","anzahl_beteiligungen")/_xll.PALO.DATAC("jedoxtest/EU_PM_CUBE02","EUPM_Mittel2_Cube",Datenstand,"Alle Beteiligungen","Alle Koordinatoren","Alle Unternehmensgrößen","-2","Alle Organisationstypen",5,"Alle Expertevaluierungsstatus",$B14,"-2",-2,"-2","Alle","-2","anzahl_beteiligungen"),"-  ")</f>
        <v>3.1103056426332289E-2</v>
      </c>
      <c r="H14" s="226">
        <f ca="1">_xll.PALO.DATAC("jedoxtest/EU_PM_CUBE02","EUPM_Mittel2_Cube",Datenstand,"Alle Beteiligungen","Alle Koordinatoren","Alle Unternehmensgrößen","-2","Alle Organisationstypen",14,"Alle Expertevaluierungsstatus",$B14,"-2","-2","-2","Alle","-2","anzahl_beteiligungen")</f>
        <v>5157</v>
      </c>
      <c r="I14" s="226">
        <f ca="1">_xll.PALO.DATAC("jedoxtest/EU_PM_CUBE02","EUPM_Mittel2_Cube",Datenstand,"Alle Beteiligungen","Alle Koordinatoren","Alle Unternehmensgrößen","-2","Alle Organisationstypen",14,"Alle Expertevaluierungsstatus",$B14,"-2",1000001,"-2","Alle","-2","anzahl_beteiligungen")</f>
        <v>4360</v>
      </c>
      <c r="J14" s="230">
        <f ca="1">_xll.PALO.DATAC("jedoxtest/EU_PM_CUBE02","EUPM_Mittel2_Cube",Datenstand,"Alle Beteiligungen","Alle Koordinatoren","Alle Unternehmensgrößen","-2","Alle Organisationstypen",14,"Alle Expertevaluierungsstatus",$B14,"-2",1,"-2","Alle","-2","anzahl_beteiligungen")</f>
        <v>175</v>
      </c>
      <c r="K14" s="227">
        <f ca="1">IFERROR(_xll.PALO.DATAC("jedoxtest/EU_PM_CUBE02","EUPM_Mittel2_Cube",Datenstand,"Alle Beteiligungen","Alle Koordinatoren","Alle Unternehmensgrößen","-2","Alle Organisationstypen",14,"Alle Expertevaluierungsstatus",$B14,"-2",1,"-2","Alle","-2","anzahl_beteiligungen")/_xll.PALO.DATAC("jedoxtest/EU_PM_CUBE02","EUPM_Mittel2_Cube",Datenstand,"Alle Beteiligungen","Alle Koordinatoren","Alle Unternehmensgrößen","-2","Alle Organisationstypen",14,"Alle Expertevaluierungsstatus",$B14,"-2",-2,"-2","Alle","-2","anzahl_beteiligungen"),"-  ")</f>
        <v>3.3934458018227649E-2</v>
      </c>
      <c r="L14" s="227">
        <f t="shared" ca="1" si="0"/>
        <v>0.12629800156739812</v>
      </c>
      <c r="M14" s="227">
        <f t="shared" ca="1" si="0"/>
        <v>0.13037497757311164</v>
      </c>
      <c r="N14" s="227">
        <f t="shared" ca="1" si="0"/>
        <v>0.13779527559055119</v>
      </c>
      <c r="O14" s="226">
        <f ca="1">_xll.PALO.DATAC("jedoxtest/EU_PM_CUBE02","EUPM_Mittel2_Cube",Datenstand,"Alle Beteiligungen","Alle Koordinatoren","Alle Unternehmensgrößen","-2","Alle Organisationstypen",14,"Alle Expertevaluierungsstatus",$B14,"-2","-2","-2","Alle","-2","anzahl_koordinatoren")</f>
        <v>417</v>
      </c>
      <c r="P14" s="226">
        <f ca="1">_xll.PALO.DATAC("jedoxtest/EU_PM_CUBE02","EUPM_Mittel2_Cube",Datenstand,"Alle Beteiligungen","Alle Koordinatoren","Alle Unternehmensgrößen","-2","Alle Organisationstypen",14,"Alle Expertevaluierungsstatus",$B14,"-2",1000001,"-2","Alle","-2","anzahl_koordinatoren")</f>
        <v>365</v>
      </c>
      <c r="Q14" s="230">
        <f ca="1">_xll.PALO.DATAC("jedoxtest/EU_PM_CUBE02","EUPM_Mittel2_Cube",Datenstand,"Alle Beteiligungen","Alle Koordinatoren","Alle Unternehmensgrößen","-2","Alle Organisationstypen",14,"Alle Expertevaluierungsstatus",$B14,"-2",1,"-2","Alle","-2","anzahl_koordinatoren")</f>
        <v>19</v>
      </c>
      <c r="R14" s="227">
        <f ca="1">IFERROR(_xll.PALO.DATAC("jedoxtest/EU_PM_CUBE02","EUPM_Mittel2_Cube",Datenstand,"Alle Beteiligungen","Alle Koordinatoren","Alle Unternehmensgrößen","-2","Alle Organisationstypen",14,"Alle Expertevaluierungsstatus",$B14,"-2",1,"-2","Alle","-2","anzahl_koordinatoren")/_xll.PALO.DATAC("jedoxtest/EU_PM_CUBE02","EUPM_Mittel2_Cube",Datenstand,"Alle Beteiligungen","Alle Koordinatoren","Alle Unternehmensgrößen","-2","Alle Organisationstypen",14,"Alle Expertevaluierungsstatus",$B14,"-2",-2,"-2","Alle","-2","anzahl_koordinatoren"),"-  ")</f>
        <v>4.5563549160671464E-2</v>
      </c>
      <c r="S14" s="228">
        <f ca="1">_xll.PALO.DATAC("jedoxtest/EU_PM_CUBE02","EUPM_Mittel2_Cube",Datenstand,"Alle Beteiligungen","Alle Koordinatoren","Alle Unternehmensgrößen","-2","Alle Organisationstypen",14,"Alle Expertevaluierungsstatus",$B14,"-2","-2","-2","Alle","-2","foerderung")/1000000</f>
        <v>1511.9237680000001</v>
      </c>
      <c r="T14" s="228">
        <f ca="1">_xll.PALO.DATAC("jedoxtest/EU_PM_CUBE02","EUPM_Mittel2_Cube",Datenstand,"Alle Beteiligungen","Alle Koordinatoren","Alle Unternehmensgrößen","-2","Alle Organisationstypen",14,"Alle Expertevaluierungsstatus",$B14,"-2",1000001,"-2","Alle","-2","foerderung")/1000000</f>
        <v>1306.21741879</v>
      </c>
      <c r="U14" s="228">
        <f ca="1">_xll.PALO.DATAC("jedoxtest/EU_PM_CUBE02","EUPM_Mittel2_Cube",Datenstand,"Alle Beteiligungen","Alle Koordinatoren","Alle Unternehmensgrößen","-2","Alle Organisationstypen",14,"Alle Expertevaluierungsstatus",$B14,"-2",1,"-2","Alle","-2","foerderung")/1000000</f>
        <v>61.7171071</v>
      </c>
      <c r="V14" s="224">
        <f ca="1">IFERROR(_xll.PALO.DATAC("jedoxtest/EU_PM_CUBE02","EUPM_Mittel2_Cube",Datenstand,"Alle Beteiligungen","Alle Koordinatoren","Alle Unternehmensgrößen","-2","Alle Organisationstypen",14,"Alle Expertevaluierungsstatus",$B14,"-2",1,"-2","Alle","-2","foerderung")/_xll.PALO.DATAC("jedoxtest/EU_PM_CUBE02","EUPM_Mittel2_Cube",Datenstand,"Alle Beteiligungen","Alle Koordinatoren","Alle Unternehmensgrößen","-2","Alle Organisationstypen",14,"Alle Expertevaluierungsstatus",$B14,"-2",-2,"-2","Alle","-2","foerderung"),"-  ")</f>
        <v>4.082025060141789E-2</v>
      </c>
    </row>
    <row r="15" spans="2:23" ht="15" customHeight="1">
      <c r="B15" t="s">
        <v>147</v>
      </c>
      <c r="C15" s="473" t="str">
        <f ca="1">_xll.PALO.DATA("jedoxtest/EU_PM_CUBE02","#_Programme","Langbezeichnung",$B15)</f>
        <v>Civil Security for Society</v>
      </c>
      <c r="D15" s="226">
        <f ca="1">_xll.PALO.DATAC("jedoxtest/EU_PM_CUBE02","EUPM_Mittel2_Cube",Datenstand,"Alle Beteiligungen","Alle Koordinatoren","Alle Unternehmensgrößen","-2","Alle Organisationstypen",5,"Alle Expertevaluierungsstatus",$B15,"-2","-2","-2","Alle","-2","anzahl_beteiligungen")</f>
        <v>33769</v>
      </c>
      <c r="E15" s="226">
        <f ca="1">_xll.PALO.DATAC("jedoxtest/EU_PM_CUBE02","EUPM_Mittel2_Cube",Datenstand,"Alle Beteiligungen","Alle Koordinatoren","Alle Unternehmensgrößen","-2","Alle Organisationstypen",5,"Alle Expertevaluierungsstatus",$B15,"-2",1000001,"-2","Alle","-2","anzahl_beteiligungen")</f>
        <v>28537</v>
      </c>
      <c r="F15" s="230">
        <f ca="1">_xll.PALO.DATAC("jedoxtest/EU_PM_CUBE02","EUPM_Mittel2_Cube",Datenstand,"Alle Beteiligungen","Alle Koordinatoren","Alle Unternehmensgrößen","-2","Alle Organisationstypen",5,"Alle Expertevaluierungsstatus",$B15,"-2",1,"-2","Alle","-2","anzahl_beteiligungen")</f>
        <v>954</v>
      </c>
      <c r="G15" s="227">
        <f ca="1">IFERROR(_xll.PALO.DATAC("jedoxtest/EU_PM_CUBE02","EUPM_Mittel2_Cube",Datenstand,"Alle Beteiligungen","Alle Koordinatoren","Alle Unternehmensgrößen","-2","Alle Organisationstypen",5,"Alle Expertevaluierungsstatus",$B15,"-2",1,"-2","Alle","-2","anzahl_beteiligungen")/_xll.PALO.DATAC("jedoxtest/EU_PM_CUBE02","EUPM_Mittel2_Cube",Datenstand,"Alle Beteiligungen","Alle Koordinatoren","Alle Unternehmensgrößen","-2","Alle Organisationstypen",5,"Alle Expertevaluierungsstatus",$B15,"-2",-2,"-2","Alle","-2","anzahl_beteiligungen"),"-  ")</f>
        <v>2.8250762533684741E-2</v>
      </c>
      <c r="H15" s="226">
        <f ca="1">_xll.PALO.DATAC("jedoxtest/EU_PM_CUBE02","EUPM_Mittel2_Cube",Datenstand,"Alle Beteiligungen","Alle Koordinatoren","Alle Unternehmensgrößen","-2","Alle Organisationstypen",14,"Alle Expertevaluierungsstatus",$B15,"-2","-2","-2","Alle","-2","anzahl_beteiligungen")</f>
        <v>3700</v>
      </c>
      <c r="I15" s="226">
        <f ca="1">_xll.PALO.DATAC("jedoxtest/EU_PM_CUBE02","EUPM_Mittel2_Cube",Datenstand,"Alle Beteiligungen","Alle Koordinatoren","Alle Unternehmensgrößen","-2","Alle Organisationstypen",14,"Alle Expertevaluierungsstatus",$B15,"-2",1000001,"-2","Alle","-2","anzahl_beteiligungen")</f>
        <v>3174</v>
      </c>
      <c r="J15" s="230">
        <f ca="1">_xll.PALO.DATAC("jedoxtest/EU_PM_CUBE02","EUPM_Mittel2_Cube",Datenstand,"Alle Beteiligungen","Alle Koordinatoren","Alle Unternehmensgrößen","-2","Alle Organisationstypen",14,"Alle Expertevaluierungsstatus",$B15,"-2",1,"-2","Alle","-2","anzahl_beteiligungen")</f>
        <v>103</v>
      </c>
      <c r="K15" s="227">
        <f ca="1">IFERROR(_xll.PALO.DATAC("jedoxtest/EU_PM_CUBE02","EUPM_Mittel2_Cube",Datenstand,"Alle Beteiligungen","Alle Koordinatoren","Alle Unternehmensgrößen","-2","Alle Organisationstypen",14,"Alle Expertevaluierungsstatus",$B15,"-2",1,"-2","Alle","-2","anzahl_beteiligungen")/_xll.PALO.DATAC("jedoxtest/EU_PM_CUBE02","EUPM_Mittel2_Cube",Datenstand,"Alle Beteiligungen","Alle Koordinatoren","Alle Unternehmensgrößen","-2","Alle Organisationstypen",14,"Alle Expertevaluierungsstatus",$B15,"-2",-2,"-2","Alle","-2","anzahl_beteiligungen"),"-  ")</f>
        <v>2.7837837837837838E-2</v>
      </c>
      <c r="L15" s="227">
        <f t="shared" ca="1" si="0"/>
        <v>0.10956794693357813</v>
      </c>
      <c r="M15" s="227">
        <f t="shared" ca="1" si="0"/>
        <v>0.11122402495006482</v>
      </c>
      <c r="N15" s="227">
        <f t="shared" ca="1" si="0"/>
        <v>0.10796645702306079</v>
      </c>
      <c r="O15" s="226">
        <f ca="1">_xll.PALO.DATAC("jedoxtest/EU_PM_CUBE02","EUPM_Mittel2_Cube",Datenstand,"Alle Beteiligungen","Alle Koordinatoren","Alle Unternehmensgrößen","-2","Alle Organisationstypen",14,"Alle Expertevaluierungsstatus",$B15,"-2","-2","-2","Alle","-2","anzahl_koordinatoren")</f>
        <v>243</v>
      </c>
      <c r="P15" s="226">
        <f ca="1">_xll.PALO.DATAC("jedoxtest/EU_PM_CUBE02","EUPM_Mittel2_Cube",Datenstand,"Alle Beteiligungen","Alle Koordinatoren","Alle Unternehmensgrößen","-2","Alle Organisationstypen",14,"Alle Expertevaluierungsstatus",$B15,"-2",1000001,"-2","Alle","-2","anzahl_koordinatoren")</f>
        <v>223</v>
      </c>
      <c r="Q15" s="230">
        <f ca="1">_xll.PALO.DATAC("jedoxtest/EU_PM_CUBE02","EUPM_Mittel2_Cube",Datenstand,"Alle Beteiligungen","Alle Koordinatoren","Alle Unternehmensgrößen","-2","Alle Organisationstypen",14,"Alle Expertevaluierungsstatus",$B15,"-2",1,"-2","Alle","-2","anzahl_koordinatoren")</f>
        <v>10</v>
      </c>
      <c r="R15" s="227">
        <f ca="1">IFERROR(_xll.PALO.DATAC("jedoxtest/EU_PM_CUBE02","EUPM_Mittel2_Cube",Datenstand,"Alle Beteiligungen","Alle Koordinatoren","Alle Unternehmensgrößen","-2","Alle Organisationstypen",14,"Alle Expertevaluierungsstatus",$B15,"-2",1,"-2","Alle","-2","anzahl_koordinatoren")/_xll.PALO.DATAC("jedoxtest/EU_PM_CUBE02","EUPM_Mittel2_Cube",Datenstand,"Alle Beteiligungen","Alle Koordinatoren","Alle Unternehmensgrößen","-2","Alle Organisationstypen",14,"Alle Expertevaluierungsstatus",$B15,"-2",-2,"-2","Alle","-2","anzahl_koordinatoren"),"-  ")</f>
        <v>4.1152263374485597E-2</v>
      </c>
      <c r="S15" s="228">
        <f ca="1">_xll.PALO.DATAC("jedoxtest/EU_PM_CUBE02","EUPM_Mittel2_Cube",Datenstand,"Alle Beteiligungen","Alle Koordinatoren","Alle Unternehmensgrößen","-2","Alle Organisationstypen",14,"Alle Expertevaluierungsstatus",$B15,"-2","-2","-2","Alle","-2","foerderung")/1000000</f>
        <v>1047.8763964699999</v>
      </c>
      <c r="T15" s="228">
        <f ca="1">_xll.PALO.DATAC("jedoxtest/EU_PM_CUBE02","EUPM_Mittel2_Cube",Datenstand,"Alle Beteiligungen","Alle Koordinatoren","Alle Unternehmensgrößen","-2","Alle Organisationstypen",14,"Alle Expertevaluierungsstatus",$B15,"-2",1000001,"-2","Alle","-2","foerderung")/1000000</f>
        <v>929.13906448</v>
      </c>
      <c r="U15" s="228">
        <f ca="1">_xll.PALO.DATAC("jedoxtest/EU_PM_CUBE02","EUPM_Mittel2_Cube",Datenstand,"Alle Beteiligungen","Alle Koordinatoren","Alle Unternehmensgrößen","-2","Alle Organisationstypen",14,"Alle Expertevaluierungsstatus",$B15,"-2",1,"-2","Alle","-2","foerderung")/1000000</f>
        <v>37.445671329999996</v>
      </c>
      <c r="V15" s="224">
        <f ca="1">IFERROR(_xll.PALO.DATAC("jedoxtest/EU_PM_CUBE02","EUPM_Mittel2_Cube",Datenstand,"Alle Beteiligungen","Alle Koordinatoren","Alle Unternehmensgrößen","-2","Alle Organisationstypen",14,"Alle Expertevaluierungsstatus",$B15,"-2",1,"-2","Alle","-2","foerderung")/_xll.PALO.DATAC("jedoxtest/EU_PM_CUBE02","EUPM_Mittel2_Cube",Datenstand,"Alle Beteiligungen","Alle Koordinatoren","Alle Unternehmensgrößen","-2","Alle Organisationstypen",14,"Alle Expertevaluierungsstatus",$B15,"-2",-2,"-2","Alle","-2","foerderung"),"-  ")</f>
        <v>3.5734817060622703E-2</v>
      </c>
    </row>
    <row r="16" spans="2:23" ht="15" customHeight="1">
      <c r="B16" t="s">
        <v>148</v>
      </c>
      <c r="C16" s="473" t="str">
        <f ca="1">_xll.PALO.DATA("jedoxtest/EU_PM_CUBE02","#_Programme","Langbezeichnung",$B16)</f>
        <v>Digital, Industry and Space</v>
      </c>
      <c r="D16" s="226">
        <f ca="1">_xll.PALO.DATAC("jedoxtest/EU_PM_CUBE02","EUPM_Mittel2_Cube",Datenstand,"Alle Beteiligungen","Alle Koordinatoren","Alle Unternehmensgrößen","-2","Alle Organisationstypen",5,"Alle Expertevaluierungsstatus",$B16,"-2","-2","-2","Alle","-2","anzahl_beteiligungen")</f>
        <v>98504</v>
      </c>
      <c r="E16" s="226">
        <f ca="1">_xll.PALO.DATAC("jedoxtest/EU_PM_CUBE02","EUPM_Mittel2_Cube",Datenstand,"Alle Beteiligungen","Alle Koordinatoren","Alle Unternehmensgrößen","-2","Alle Organisationstypen",5,"Alle Expertevaluierungsstatus",$B16,"-2",1000001,"-2","Alle","-2","anzahl_beteiligungen")</f>
        <v>84016</v>
      </c>
      <c r="F16" s="230">
        <f ca="1">_xll.PALO.DATAC("jedoxtest/EU_PM_CUBE02","EUPM_Mittel2_Cube",Datenstand,"Alle Beteiligungen","Alle Koordinatoren","Alle Unternehmensgrößen","-2","Alle Organisationstypen",5,"Alle Expertevaluierungsstatus",$B16,"-2",1,"-2","Alle","-2","anzahl_beteiligungen")</f>
        <v>3490</v>
      </c>
      <c r="G16" s="227">
        <f ca="1">IFERROR(_xll.PALO.DATAC("jedoxtest/EU_PM_CUBE02","EUPM_Mittel2_Cube",Datenstand,"Alle Beteiligungen","Alle Koordinatoren","Alle Unternehmensgrößen","-2","Alle Organisationstypen",5,"Alle Expertevaluierungsstatus",$B16,"-2",1,"-2","Alle","-2","anzahl_beteiligungen")/_xll.PALO.DATAC("jedoxtest/EU_PM_CUBE02","EUPM_Mittel2_Cube",Datenstand,"Alle Beteiligungen","Alle Koordinatoren","Alle Unternehmensgrößen","-2","Alle Organisationstypen",5,"Alle Expertevaluierungsstatus",$B16,"-2",-2,"-2","Alle","-2","anzahl_beteiligungen"),"-  ")</f>
        <v>3.5430033298140179E-2</v>
      </c>
      <c r="H16" s="226">
        <f ca="1">_xll.PALO.DATAC("jedoxtest/EU_PM_CUBE02","EUPM_Mittel2_Cube",Datenstand,"Alle Beteiligungen","Alle Koordinatoren","Alle Unternehmensgrößen","-2","Alle Organisationstypen",14,"Alle Expertevaluierungsstatus",$B16,"-2","-2","-2","Alle","-2","anzahl_beteiligungen")</f>
        <v>20443</v>
      </c>
      <c r="I16" s="226">
        <f ca="1">_xll.PALO.DATAC("jedoxtest/EU_PM_CUBE02","EUPM_Mittel2_Cube",Datenstand,"Alle Beteiligungen","Alle Koordinatoren","Alle Unternehmensgrößen","-2","Alle Organisationstypen",14,"Alle Expertevaluierungsstatus",$B16,"-2",1000001,"-2","Alle","-2","anzahl_beteiligungen")</f>
        <v>18085</v>
      </c>
      <c r="J16" s="230">
        <f ca="1">_xll.PALO.DATAC("jedoxtest/EU_PM_CUBE02","EUPM_Mittel2_Cube",Datenstand,"Alle Beteiligungen","Alle Koordinatoren","Alle Unternehmensgrößen","-2","Alle Organisationstypen",14,"Alle Expertevaluierungsstatus",$B16,"-2",1,"-2","Alle","-2","anzahl_beteiligungen")</f>
        <v>783</v>
      </c>
      <c r="K16" s="227">
        <f ca="1">IFERROR(_xll.PALO.DATAC("jedoxtest/EU_PM_CUBE02","EUPM_Mittel2_Cube",Datenstand,"Alle Beteiligungen","Alle Koordinatoren","Alle Unternehmensgrößen","-2","Alle Organisationstypen",14,"Alle Expertevaluierungsstatus",$B16,"-2",1,"-2","Alle","-2","anzahl_beteiligungen")/_xll.PALO.DATAC("jedoxtest/EU_PM_CUBE02","EUPM_Mittel2_Cube",Datenstand,"Alle Beteiligungen","Alle Koordinatoren","Alle Unternehmensgrößen","-2","Alle Organisationstypen",14,"Alle Expertevaluierungsstatus",$B16,"-2",-2,"-2","Alle","-2","anzahl_beteiligungen"),"-  ")</f>
        <v>3.8301619136134619E-2</v>
      </c>
      <c r="L16" s="227">
        <f t="shared" ca="1" si="0"/>
        <v>0.20753471940225779</v>
      </c>
      <c r="M16" s="227">
        <f t="shared" ca="1" si="0"/>
        <v>0.21525661778708818</v>
      </c>
      <c r="N16" s="227">
        <f t="shared" ca="1" si="0"/>
        <v>0.22435530085959884</v>
      </c>
      <c r="O16" s="226">
        <f ca="1">_xll.PALO.DATAC("jedoxtest/EU_PM_CUBE02","EUPM_Mittel2_Cube",Datenstand,"Alle Beteiligungen","Alle Koordinatoren","Alle Unternehmensgrößen","-2","Alle Organisationstypen",14,"Alle Expertevaluierungsstatus",$B16,"-2","-2","-2","Alle","-2","anzahl_koordinatoren")</f>
        <v>1377</v>
      </c>
      <c r="P16" s="226">
        <f ca="1">_xll.PALO.DATAC("jedoxtest/EU_PM_CUBE02","EUPM_Mittel2_Cube",Datenstand,"Alle Beteiligungen","Alle Koordinatoren","Alle Unternehmensgrößen","-2","Alle Organisationstypen",14,"Alle Expertevaluierungsstatus",$B16,"-2",1000001,"-2","Alle","-2","anzahl_koordinatoren")</f>
        <v>1278</v>
      </c>
      <c r="Q16" s="230">
        <f ca="1">_xll.PALO.DATAC("jedoxtest/EU_PM_CUBE02","EUPM_Mittel2_Cube",Datenstand,"Alle Beteiligungen","Alle Koordinatoren","Alle Unternehmensgrößen","-2","Alle Organisationstypen",14,"Alle Expertevaluierungsstatus",$B16,"-2",1,"-2","Alle","-2","anzahl_koordinatoren")</f>
        <v>47</v>
      </c>
      <c r="R16" s="227">
        <f ca="1">IFERROR(_xll.PALO.DATAC("jedoxtest/EU_PM_CUBE02","EUPM_Mittel2_Cube",Datenstand,"Alle Beteiligungen","Alle Koordinatoren","Alle Unternehmensgrößen","-2","Alle Organisationstypen",14,"Alle Expertevaluierungsstatus",$B16,"-2",1,"-2","Alle","-2","anzahl_koordinatoren")/_xll.PALO.DATAC("jedoxtest/EU_PM_CUBE02","EUPM_Mittel2_Cube",Datenstand,"Alle Beteiligungen","Alle Koordinatoren","Alle Unternehmensgrößen","-2","Alle Organisationstypen",14,"Alle Expertevaluierungsstatus",$B16,"-2",-2,"-2","Alle","-2","anzahl_koordinatoren"),"-  ")</f>
        <v>3.4132171387073348E-2</v>
      </c>
      <c r="S16" s="228">
        <f ca="1">_xll.PALO.DATAC("jedoxtest/EU_PM_CUBE02","EUPM_Mittel2_Cube",Datenstand,"Alle Beteiligungen","Alle Koordinatoren","Alle Unternehmensgrößen","-2","Alle Organisationstypen",14,"Alle Expertevaluierungsstatus",$B16,"-2","-2","-2","Alle","-2","foerderung")/1000000</f>
        <v>10544.04136426</v>
      </c>
      <c r="T16" s="228">
        <f ca="1">_xll.PALO.DATAC("jedoxtest/EU_PM_CUBE02","EUPM_Mittel2_Cube",Datenstand,"Alle Beteiligungen","Alle Koordinatoren","Alle Unternehmensgrößen","-2","Alle Organisationstypen",14,"Alle Expertevaluierungsstatus",$B16,"-2",1000001,"-2","Alle","-2","foerderung")/1000000</f>
        <v>9676.5733297100105</v>
      </c>
      <c r="U16" s="228">
        <f ca="1">_xll.PALO.DATAC("jedoxtest/EU_PM_CUBE02","EUPM_Mittel2_Cube",Datenstand,"Alle Beteiligungen","Alle Koordinatoren","Alle Unternehmensgrößen","-2","Alle Organisationstypen",14,"Alle Expertevaluierungsstatus",$B16,"-2",1,"-2","Alle","-2","foerderung")/1000000</f>
        <v>357.93413291000002</v>
      </c>
      <c r="V16" s="224">
        <f ca="1">IFERROR(_xll.PALO.DATAC("jedoxtest/EU_PM_CUBE02","EUPM_Mittel2_Cube",Datenstand,"Alle Beteiligungen","Alle Koordinatoren","Alle Unternehmensgrößen","-2","Alle Organisationstypen",14,"Alle Expertevaluierungsstatus",$B16,"-2",1,"-2","Alle","-2","foerderung")/_xll.PALO.DATAC("jedoxtest/EU_PM_CUBE02","EUPM_Mittel2_Cube",Datenstand,"Alle Beteiligungen","Alle Koordinatoren","Alle Unternehmensgrößen","-2","Alle Organisationstypen",14,"Alle Expertevaluierungsstatus",$B16,"-2",-2,"-2","Alle","-2","foerderung"),"-  ")</f>
        <v>3.3946578977132123E-2</v>
      </c>
    </row>
    <row r="17" spans="1:23" ht="15" customHeight="1">
      <c r="B17" t="s">
        <v>149</v>
      </c>
      <c r="C17" s="473" t="str">
        <f ca="1">_xll.PALO.DATA("jedoxtest/EU_PM_CUBE02","#_Programme","Langbezeichnung",$B17)</f>
        <v>Climate, Energy and Mobility</v>
      </c>
      <c r="D17" s="226">
        <f ca="1">_xll.PALO.DATAC("jedoxtest/EU_PM_CUBE02","EUPM_Mittel2_Cube",Datenstand,"Alle Beteiligungen","Alle Koordinatoren","Alle Unternehmensgrößen","-2","Alle Organisationstypen",5,"Alle Expertevaluierungsstatus",$B17,"-2","-2","-2","Alle","-2","anzahl_beteiligungen")</f>
        <v>113873</v>
      </c>
      <c r="E17" s="226">
        <f ca="1">_xll.PALO.DATAC("jedoxtest/EU_PM_CUBE02","EUPM_Mittel2_Cube",Datenstand,"Alle Beteiligungen","Alle Koordinatoren","Alle Unternehmensgrößen","-2","Alle Organisationstypen",5,"Alle Expertevaluierungsstatus",$B17,"-2",1000001,"-2","Alle","-2","anzahl_beteiligungen")</f>
        <v>94103</v>
      </c>
      <c r="F17" s="230">
        <f ca="1">_xll.PALO.DATAC("jedoxtest/EU_PM_CUBE02","EUPM_Mittel2_Cube",Datenstand,"Alle Beteiligungen","Alle Koordinatoren","Alle Unternehmensgrößen","-2","Alle Organisationstypen",5,"Alle Expertevaluierungsstatus",$B17,"-2",1,"-2","Alle","-2","anzahl_beteiligungen")</f>
        <v>3530</v>
      </c>
      <c r="G17" s="227">
        <f ca="1">IFERROR(_xll.PALO.DATAC("jedoxtest/EU_PM_CUBE02","EUPM_Mittel2_Cube",Datenstand,"Alle Beteiligungen","Alle Koordinatoren","Alle Unternehmensgrößen","-2","Alle Organisationstypen",5,"Alle Expertevaluierungsstatus",$B17,"-2",1,"-2","Alle","-2","anzahl_beteiligungen")/_xll.PALO.DATAC("jedoxtest/EU_PM_CUBE02","EUPM_Mittel2_Cube",Datenstand,"Alle Beteiligungen","Alle Koordinatoren","Alle Unternehmensgrößen","-2","Alle Organisationstypen",5,"Alle Expertevaluierungsstatus",$B17,"-2",-2,"-2","Alle","-2","anzahl_beteiligungen"),"-  ")</f>
        <v>3.0999446752083461E-2</v>
      </c>
      <c r="H17" s="226">
        <f ca="1">_xll.PALO.DATAC("jedoxtest/EU_PM_CUBE02","EUPM_Mittel2_Cube",Datenstand,"Alle Beteiligungen","Alle Koordinatoren","Alle Unternehmensgrößen","-2","Alle Organisationstypen",14,"Alle Expertevaluierungsstatus",$B17,"-2","-2","-2","Alle","-2","anzahl_beteiligungen")</f>
        <v>22781</v>
      </c>
      <c r="I17" s="226">
        <f ca="1">_xll.PALO.DATAC("jedoxtest/EU_PM_CUBE02","EUPM_Mittel2_Cube",Datenstand,"Alle Beteiligungen","Alle Koordinatoren","Alle Unternehmensgrößen","-2","Alle Organisationstypen",14,"Alle Expertevaluierungsstatus",$B17,"-2",1000001,"-2","Alle","-2","anzahl_beteiligungen")</f>
        <v>19322</v>
      </c>
      <c r="J17" s="230">
        <f ca="1">_xll.PALO.DATAC("jedoxtest/EU_PM_CUBE02","EUPM_Mittel2_Cube",Datenstand,"Alle Beteiligungen","Alle Koordinatoren","Alle Unternehmensgrößen","-2","Alle Organisationstypen",14,"Alle Expertevaluierungsstatus",$B17,"-2",1,"-2","Alle","-2","anzahl_beteiligungen")</f>
        <v>771</v>
      </c>
      <c r="K17" s="227">
        <f ca="1">IFERROR(_xll.PALO.DATAC("jedoxtest/EU_PM_CUBE02","EUPM_Mittel2_Cube",Datenstand,"Alle Beteiligungen","Alle Koordinatoren","Alle Unternehmensgrößen","-2","Alle Organisationstypen",14,"Alle Expertevaluierungsstatus",$B17,"-2",1,"-2","Alle","-2","anzahl_beteiligungen")/_xll.PALO.DATAC("jedoxtest/EU_PM_CUBE02","EUPM_Mittel2_Cube",Datenstand,"Alle Beteiligungen","Alle Koordinatoren","Alle Unternehmensgrößen","-2","Alle Organisationstypen",14,"Alle Expertevaluierungsstatus",$B17,"-2",-2,"-2","Alle","-2","anzahl_beteiligungen"),"-  ")</f>
        <v>3.3843992801018394E-2</v>
      </c>
      <c r="L17" s="227">
        <f t="shared" ca="1" si="0"/>
        <v>0.20005620296294996</v>
      </c>
      <c r="M17" s="227">
        <f t="shared" ca="1" si="0"/>
        <v>0.20532820420177891</v>
      </c>
      <c r="N17" s="227">
        <f t="shared" ca="1" si="0"/>
        <v>0.21841359773371105</v>
      </c>
      <c r="O17" s="226">
        <f ca="1">_xll.PALO.DATAC("jedoxtest/EU_PM_CUBE02","EUPM_Mittel2_Cube",Datenstand,"Alle Beteiligungen","Alle Koordinatoren","Alle Unternehmensgrößen","-2","Alle Organisationstypen",14,"Alle Expertevaluierungsstatus",$B17,"-2","-2","-2","Alle","-2","anzahl_koordinatoren")</f>
        <v>1410</v>
      </c>
      <c r="P17" s="226">
        <f ca="1">_xll.PALO.DATAC("jedoxtest/EU_PM_CUBE02","EUPM_Mittel2_Cube",Datenstand,"Alle Beteiligungen","Alle Koordinatoren","Alle Unternehmensgrößen","-2","Alle Organisationstypen",14,"Alle Expertevaluierungsstatus",$B17,"-2",1000001,"-2","Alle","-2","anzahl_koordinatoren")</f>
        <v>1243</v>
      </c>
      <c r="Q17" s="230">
        <f ca="1">_xll.PALO.DATAC("jedoxtest/EU_PM_CUBE02","EUPM_Mittel2_Cube",Datenstand,"Alle Beteiligungen","Alle Koordinatoren","Alle Unternehmensgrößen","-2","Alle Organisationstypen",14,"Alle Expertevaluierungsstatus",$B17,"-2",1,"-2","Alle","-2","anzahl_koordinatoren")</f>
        <v>68</v>
      </c>
      <c r="R17" s="227">
        <f ca="1">IFERROR(_xll.PALO.DATAC("jedoxtest/EU_PM_CUBE02","EUPM_Mittel2_Cube",Datenstand,"Alle Beteiligungen","Alle Koordinatoren","Alle Unternehmensgrößen","-2","Alle Organisationstypen",14,"Alle Expertevaluierungsstatus",$B17,"-2",1,"-2","Alle","-2","anzahl_koordinatoren")/_xll.PALO.DATAC("jedoxtest/EU_PM_CUBE02","EUPM_Mittel2_Cube",Datenstand,"Alle Beteiligungen","Alle Koordinatoren","Alle Unternehmensgrößen","-2","Alle Organisationstypen",14,"Alle Expertevaluierungsstatus",$B17,"-2",-2,"-2","Alle","-2","anzahl_koordinatoren"),"-  ")</f>
        <v>4.8226950354609929E-2</v>
      </c>
      <c r="S17" s="228">
        <f ca="1">_xll.PALO.DATAC("jedoxtest/EU_PM_CUBE02","EUPM_Mittel2_Cube",Datenstand,"Alle Beteiligungen","Alle Koordinatoren","Alle Unternehmensgrößen","-2","Alle Organisationstypen",14,"Alle Expertevaluierungsstatus",$B17,"-2","-2","-2","Alle","-2","foerderung")/1000000</f>
        <v>10399.682384780001</v>
      </c>
      <c r="T17" s="228">
        <f ca="1">_xll.PALO.DATAC("jedoxtest/EU_PM_CUBE02","EUPM_Mittel2_Cube",Datenstand,"Alle Beteiligungen","Alle Koordinatoren","Alle Unternehmensgrößen","-2","Alle Organisationstypen",14,"Alle Expertevaluierungsstatus",$B17,"-2",1000001,"-2","Alle","-2","foerderung")/1000000</f>
        <v>8997.4237181900189</v>
      </c>
      <c r="U17" s="228">
        <f ca="1">_xll.PALO.DATAC("jedoxtest/EU_PM_CUBE02","EUPM_Mittel2_Cube",Datenstand,"Alle Beteiligungen","Alle Koordinatoren","Alle Unternehmensgrößen","-2","Alle Organisationstypen",14,"Alle Expertevaluierungsstatus",$B17,"-2",1,"-2","Alle","-2","foerderung")/1000000</f>
        <v>369.51122980999997</v>
      </c>
      <c r="V17" s="224">
        <f ca="1">IFERROR(_xll.PALO.DATAC("jedoxtest/EU_PM_CUBE02","EUPM_Mittel2_Cube",Datenstand,"Alle Beteiligungen","Alle Koordinatoren","Alle Unternehmensgrößen","-2","Alle Organisationstypen",14,"Alle Expertevaluierungsstatus",$B17,"-2",1,"-2","Alle","-2","foerderung")/_xll.PALO.DATAC("jedoxtest/EU_PM_CUBE02","EUPM_Mittel2_Cube",Datenstand,"Alle Beteiligungen","Alle Koordinatoren","Alle Unternehmensgrößen","-2","Alle Organisationstypen",14,"Alle Expertevaluierungsstatus",$B17,"-2",-2,"-2","Alle","-2","foerderung"),"-  ")</f>
        <v>3.5531011057682103E-2</v>
      </c>
    </row>
    <row r="18" spans="1:23" ht="32.25" customHeight="1">
      <c r="B18" t="s">
        <v>150</v>
      </c>
      <c r="C18" s="473"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Organisationstypen",5,"Alle Expertevaluierungsstatus",$B18,"-2","-2","-2","Alle","-2","anzahl_beteiligungen")</f>
        <v>78955</v>
      </c>
      <c r="E18" s="226">
        <f ca="1">_xll.PALO.DATAC("jedoxtest/EU_PM_CUBE02","EUPM_Mittel2_Cube",Datenstand,"Alle Beteiligungen","Alle Koordinatoren","Alle Unternehmensgrößen","-2","Alle Organisationstypen",5,"Alle Expertevaluierungsstatus",$B18,"-2",1000001,"-2","Alle","-2","anzahl_beteiligungen")</f>
        <v>63955</v>
      </c>
      <c r="F18" s="230">
        <f ca="1">_xll.PALO.DATAC("jedoxtest/EU_PM_CUBE02","EUPM_Mittel2_Cube",Datenstand,"Alle Beteiligungen","Alle Koordinatoren","Alle Unternehmensgrößen","-2","Alle Organisationstypen",5,"Alle Expertevaluierungsstatus",$B18,"-2",1,"-2","Alle","-2","anzahl_beteiligungen")</f>
        <v>1754</v>
      </c>
      <c r="G18" s="227">
        <f ca="1">IFERROR(_xll.PALO.DATAC("jedoxtest/EU_PM_CUBE02","EUPM_Mittel2_Cube",Datenstand,"Alle Beteiligungen","Alle Koordinatoren","Alle Unternehmensgrößen","-2","Alle Organisationstypen",5,"Alle Expertevaluierungsstatus",$B18,"-2",1,"-2","Alle","-2","anzahl_beteiligungen")/_xll.PALO.DATAC("jedoxtest/EU_PM_CUBE02","EUPM_Mittel2_Cube",Datenstand,"Alle Beteiligungen","Alle Koordinatoren","Alle Unternehmensgrößen","-2","Alle Organisationstypen",5,"Alle Expertevaluierungsstatus",$B18,"-2",-2,"-2","Alle","-2","anzahl_beteiligungen"),"-  ")</f>
        <v>2.2215185865366346E-2</v>
      </c>
      <c r="H18" s="226">
        <f ca="1">_xll.PALO.DATAC("jedoxtest/EU_PM_CUBE02","EUPM_Mittel2_Cube",Datenstand,"Alle Beteiligungen","Alle Koordinatoren","Alle Unternehmensgrößen","-2","Alle Organisationstypen",14,"Alle Expertevaluierungsstatus",$B18,"-2","-2","-2","Alle","-2","anzahl_beteiligungen")</f>
        <v>17603</v>
      </c>
      <c r="I18" s="226">
        <f ca="1">_xll.PALO.DATAC("jedoxtest/EU_PM_CUBE02","EUPM_Mittel2_Cube",Datenstand,"Alle Beteiligungen","Alle Koordinatoren","Alle Unternehmensgrößen","-2","Alle Organisationstypen",14,"Alle Expertevaluierungsstatus",$B18,"-2",1000001,"-2","Alle","-2","anzahl_beteiligungen")</f>
        <v>14692</v>
      </c>
      <c r="J18" s="230">
        <f ca="1">_xll.PALO.DATAC("jedoxtest/EU_PM_CUBE02","EUPM_Mittel2_Cube",Datenstand,"Alle Beteiligungen","Alle Koordinatoren","Alle Unternehmensgrößen","-2","Alle Organisationstypen",14,"Alle Expertevaluierungsstatus",$B18,"-2",1,"-2","Alle","-2","anzahl_beteiligungen")</f>
        <v>426</v>
      </c>
      <c r="K18" s="227">
        <f ca="1">IFERROR(_xll.PALO.DATAC("jedoxtest/EU_PM_CUBE02","EUPM_Mittel2_Cube",Datenstand,"Alle Beteiligungen","Alle Koordinatoren","Alle Unternehmensgrößen","-2","Alle Organisationstypen",14,"Alle Expertevaluierungsstatus",$B18,"-2",1,"-2","Alle","-2","anzahl_beteiligungen")/_xll.PALO.DATAC("jedoxtest/EU_PM_CUBE02","EUPM_Mittel2_Cube",Datenstand,"Alle Beteiligungen","Alle Koordinatoren","Alle Unternehmensgrößen","-2","Alle Organisationstypen",14,"Alle Expertevaluierungsstatus",$B18,"-2",-2,"-2","Alle","-2","anzahl_beteiligungen"),"-  ")</f>
        <v>2.420042038288928E-2</v>
      </c>
      <c r="L18" s="227">
        <f t="shared" ca="1" si="0"/>
        <v>0.22294978152111963</v>
      </c>
      <c r="M18" s="227">
        <f t="shared" ca="1" si="0"/>
        <v>0.22972402470487061</v>
      </c>
      <c r="N18" s="227">
        <f t="shared" ca="1" si="0"/>
        <v>0.24287343215507412</v>
      </c>
      <c r="O18" s="226">
        <f ca="1">_xll.PALO.DATAC("jedoxtest/EU_PM_CUBE02","EUPM_Mittel2_Cube",Datenstand,"Alle Beteiligungen","Alle Koordinatoren","Alle Unternehmensgrößen","-2","Alle Organisationstypen",14,"Alle Expertevaluierungsstatus",$B18,"-2","-2","-2","Alle","-2","anzahl_koordinatoren")</f>
        <v>956</v>
      </c>
      <c r="P18" s="226">
        <f ca="1">_xll.PALO.DATAC("jedoxtest/EU_PM_CUBE02","EUPM_Mittel2_Cube",Datenstand,"Alle Beteiligungen","Alle Koordinatoren","Alle Unternehmensgrößen","-2","Alle Organisationstypen",14,"Alle Expertevaluierungsstatus",$B18,"-2",1000001,"-2","Alle","-2","anzahl_koordinatoren")</f>
        <v>862</v>
      </c>
      <c r="Q18" s="230">
        <f ca="1">_xll.PALO.DATAC("jedoxtest/EU_PM_CUBE02","EUPM_Mittel2_Cube",Datenstand,"Alle Beteiligungen","Alle Koordinatoren","Alle Unternehmensgrößen","-2","Alle Organisationstypen",14,"Alle Expertevaluierungsstatus",$B18,"-2",1,"-2","Alle","-2","anzahl_koordinatoren")</f>
        <v>24</v>
      </c>
      <c r="R18" s="227">
        <f ca="1">IFERROR(_xll.PALO.DATAC("jedoxtest/EU_PM_CUBE02","EUPM_Mittel2_Cube",Datenstand,"Alle Beteiligungen","Alle Koordinatoren","Alle Unternehmensgrößen","-2","Alle Organisationstypen",14,"Alle Expertevaluierungsstatus",$B18,"-2",1,"-2","Alle","-2","anzahl_koordinatoren")/_xll.PALO.DATAC("jedoxtest/EU_PM_CUBE02","EUPM_Mittel2_Cube",Datenstand,"Alle Beteiligungen","Alle Koordinatoren","Alle Unternehmensgrößen","-2","Alle Organisationstypen",14,"Alle Expertevaluierungsstatus",$B18,"-2",-2,"-2","Alle","-2","anzahl_koordinatoren"),"-  ")</f>
        <v>2.5104602510460251E-2</v>
      </c>
      <c r="S18" s="228">
        <f ca="1">_xll.PALO.DATAC("jedoxtest/EU_PM_CUBE02","EUPM_Mittel2_Cube",Datenstand,"Alle Beteiligungen","Alle Koordinatoren","Alle Unternehmensgrößen","-2","Alle Organisationstypen",14,"Alle Expertevaluierungsstatus",$B18,"-2","-2","-2","Alle","-2","foerderung")/1000000</f>
        <v>6234.8995754400394</v>
      </c>
      <c r="T18" s="228">
        <f ca="1">_xll.PALO.DATAC("jedoxtest/EU_PM_CUBE02","EUPM_Mittel2_Cube",Datenstand,"Alle Beteiligungen","Alle Koordinatoren","Alle Unternehmensgrößen","-2","Alle Organisationstypen",14,"Alle Expertevaluierungsstatus",$B18,"-2",1000001,"-2","Alle","-2","foerderung")/1000000</f>
        <v>5366.91309938004</v>
      </c>
      <c r="U18" s="228">
        <f ca="1">_xll.PALO.DATAC("jedoxtest/EU_PM_CUBE02","EUPM_Mittel2_Cube",Datenstand,"Alle Beteiligungen","Alle Koordinatoren","Alle Unternehmensgrößen","-2","Alle Organisationstypen",14,"Alle Expertevaluierungsstatus",$B18,"-2",1,"-2","Alle","-2","foerderung")/1000000</f>
        <v>151.81063877</v>
      </c>
      <c r="V18" s="224">
        <f ca="1">IFERROR(_xll.PALO.DATAC("jedoxtest/EU_PM_CUBE02","EUPM_Mittel2_Cube",Datenstand,"Alle Beteiligungen","Alle Koordinatoren","Alle Unternehmensgrößen","-2","Alle Organisationstypen",14,"Alle Expertevaluierungsstatus",$B18,"-2",1,"-2","Alle","-2","foerderung")/_xll.PALO.DATAC("jedoxtest/EU_PM_CUBE02","EUPM_Mittel2_Cube",Datenstand,"Alle Beteiligungen","Alle Koordinatoren","Alle Unternehmensgrößen","-2","Alle Organisationstypen",14,"Alle Expertevaluierungsstatus",$B18,"-2",-2,"-2","Alle","-2","foerderung"),"-  ")</f>
        <v>2.4348529905437281E-2</v>
      </c>
    </row>
    <row r="19" spans="1:23" ht="15" customHeight="1">
      <c r="B19" t="s">
        <v>151</v>
      </c>
      <c r="C19" s="361" t="str">
        <f ca="1">_xll.PALO.DATA("jedoxtest/EU_PM_CUBE02","#_Programme","Langbezeichnung",$B19)</f>
        <v>Innovative Europe</v>
      </c>
      <c r="D19" s="206">
        <f ca="1">_xll.PALO.DATAC("jedoxtest/EU_PM_CUBE02","EUPM_Mittel2_Cube",Datenstand,"Alle Beteiligungen","Alle Koordinatoren","Alle Unternehmensgrößen","-2","Alle Organisationstypen",5,"Alle Expertevaluierungsstatus",$B19,"-2","-2","-2","Alle","-2","anzahl_beteiligungen")</f>
        <v>71288</v>
      </c>
      <c r="E19" s="206">
        <f ca="1">_xll.PALO.DATAC("jedoxtest/EU_PM_CUBE02","EUPM_Mittel2_Cube",Datenstand,"Alle Beteiligungen","Alle Koordinatoren","Alle Unternehmensgrößen","-2","Alle Organisationstypen",5,"Alle Expertevaluierungsstatus",$B19,"-2",1000001,"-2","Alle","-2","anzahl_beteiligungen")</f>
        <v>59051</v>
      </c>
      <c r="F19" s="362">
        <f ca="1">_xll.PALO.DATAC("jedoxtest/EU_PM_CUBE02","EUPM_Mittel2_Cube",Datenstand,"Alle Beteiligungen","Alle Koordinatoren","Alle Unternehmensgrößen","-2","Alle Organisationstypen",5,"Alle Expertevaluierungsstatus",$B19,"-2",1,"-2","Alle","-2","anzahl_beteiligungen")</f>
        <v>1854</v>
      </c>
      <c r="G19" s="325">
        <f ca="1">IFERROR(_xll.PALO.DATAC("jedoxtest/EU_PM_CUBE02","EUPM_Mittel2_Cube",Datenstand,"Alle Beteiligungen","Alle Koordinatoren","Alle Unternehmensgrößen","-2","Alle Organisationstypen",5,"Alle Expertevaluierungsstatus",$B19,"-2",1,"-2","Alle","-2","anzahl_beteiligungen")/_xll.PALO.DATAC("jedoxtest/EU_PM_CUBE02","EUPM_Mittel2_Cube",Datenstand,"Alle Beteiligungen","Alle Koordinatoren","Alle Unternehmensgrößen","-2","Alle Organisationstypen",5,"Alle Expertevaluierungsstatus",$B19,"-2",-2,"-2","Alle","-2","anzahl_beteiligungen"),"-  ")</f>
        <v>2.600718213444058E-2</v>
      </c>
      <c r="H19" s="206">
        <f ca="1">_xll.PALO.DATAC("jedoxtest/EU_PM_CUBE02","EUPM_Mittel2_Cube",Datenstand,"Alle Beteiligungen","Alle Koordinatoren","Alle Unternehmensgrößen","-2","Alle Organisationstypen",14,"Alle Expertevaluierungsstatus",$B19,"-2","-2","-2","Alle","-2","anzahl_beteiligungen")</f>
        <v>7582</v>
      </c>
      <c r="I19" s="206">
        <f ca="1">_xll.PALO.DATAC("jedoxtest/EU_PM_CUBE02","EUPM_Mittel2_Cube",Datenstand,"Alle Beteiligungen","Alle Koordinatoren","Alle Unternehmensgrößen","-2","Alle Organisationstypen",14,"Alle Expertevaluierungsstatus",$B19,"-2",1000001,"-2","Alle","-2","anzahl_beteiligungen")</f>
        <v>6235</v>
      </c>
      <c r="J19" s="362">
        <f ca="1">_xll.PALO.DATAC("jedoxtest/EU_PM_CUBE02","EUPM_Mittel2_Cube",Datenstand,"Alle Beteiligungen","Alle Koordinatoren","Alle Unternehmensgrößen","-2","Alle Organisationstypen",14,"Alle Expertevaluierungsstatus",$B19,"-2",1,"-2","Alle","-2","anzahl_beteiligungen")</f>
        <v>188</v>
      </c>
      <c r="K19" s="325">
        <f ca="1">IFERROR(_xll.PALO.DATAC("jedoxtest/EU_PM_CUBE02","EUPM_Mittel2_Cube",Datenstand,"Alle Beteiligungen","Alle Koordinatoren","Alle Unternehmensgrößen","-2","Alle Organisationstypen",14,"Alle Expertevaluierungsstatus",$B19,"-2",1,"-2","Alle","-2","anzahl_beteiligungen")/_xll.PALO.DATAC("jedoxtest/EU_PM_CUBE02","EUPM_Mittel2_Cube",Datenstand,"Alle Beteiligungen","Alle Koordinatoren","Alle Unternehmensgrößen","-2","Alle Organisationstypen",14,"Alle Expertevaluierungsstatus",$B19,"-2",-2,"-2","Alle","-2","anzahl_beteiligungen"),"-  ")</f>
        <v>2.4795568451595886E-2</v>
      </c>
      <c r="L19" s="325">
        <f t="shared" ca="1" si="0"/>
        <v>0.1063573111884188</v>
      </c>
      <c r="M19" s="325">
        <f t="shared" ca="1" si="0"/>
        <v>0.1055866962456182</v>
      </c>
      <c r="N19" s="325">
        <f t="shared" ca="1" si="0"/>
        <v>0.10140237324703344</v>
      </c>
      <c r="O19" s="206">
        <f ca="1">_xll.PALO.DATAC("jedoxtest/EU_PM_CUBE02","EUPM_Mittel2_Cube",Datenstand,"Alle Beteiligungen","Alle Koordinatoren","Alle Unternehmensgrößen","-2","Alle Organisationstypen",14,"Alle Expertevaluierungsstatus",$B19,"-2","-2","-2","Alle","-2","anzahl_koordinatoren")</f>
        <v>3672</v>
      </c>
      <c r="P19" s="206">
        <f ca="1">_xll.PALO.DATAC("jedoxtest/EU_PM_CUBE02","EUPM_Mittel2_Cube",Datenstand,"Alle Beteiligungen","Alle Koordinatoren","Alle Unternehmensgrößen","-2","Alle Organisationstypen",14,"Alle Expertevaluierungsstatus",$B19,"-2",1000001,"-2","Alle","-2","anzahl_koordinatoren")</f>
        <v>2856</v>
      </c>
      <c r="Q19" s="362">
        <f ca="1">_xll.PALO.DATAC("jedoxtest/EU_PM_CUBE02","EUPM_Mittel2_Cube",Datenstand,"Alle Beteiligungen","Alle Koordinatoren","Alle Unternehmensgrößen","-2","Alle Organisationstypen",14,"Alle Expertevaluierungsstatus",$B19,"-2",1,"-2","Alle","-2","anzahl_koordinatoren")</f>
        <v>77</v>
      </c>
      <c r="R19" s="325">
        <f ca="1">IFERROR(_xll.PALO.DATAC("jedoxtest/EU_PM_CUBE02","EUPM_Mittel2_Cube",Datenstand,"Alle Beteiligungen","Alle Koordinatoren","Alle Unternehmensgrößen","-2","Alle Organisationstypen",14,"Alle Expertevaluierungsstatus",$B19,"-2",1,"-2","Alle","-2","anzahl_koordinatoren")/_xll.PALO.DATAC("jedoxtest/EU_PM_CUBE02","EUPM_Mittel2_Cube",Datenstand,"Alle Beteiligungen","Alle Koordinatoren","Alle Unternehmensgrößen","-2","Alle Organisationstypen",14,"Alle Expertevaluierungsstatus",$B19,"-2",-2,"-2","Alle","-2","anzahl_koordinatoren"),"-  ")</f>
        <v>2.0969498910675382E-2</v>
      </c>
      <c r="S19" s="326">
        <f ca="1">_xll.PALO.DATAC("jedoxtest/EU_PM_CUBE02","EUPM_Mittel2_Cube",Datenstand,"Alle Beteiligungen","Alle Koordinatoren","Alle Unternehmensgrößen","-2","Alle Organisationstypen",14,"Alle Expertevaluierungsstatus",$B19,"-2","-2","-2","Alle","-2","foerderung")/1000000</f>
        <v>7258.74048984001</v>
      </c>
      <c r="T19" s="326">
        <f ca="1">_xll.PALO.DATAC("jedoxtest/EU_PM_CUBE02","EUPM_Mittel2_Cube",Datenstand,"Alle Beteiligungen","Alle Koordinatoren","Alle Unternehmensgrößen","-2","Alle Organisationstypen",14,"Alle Expertevaluierungsstatus",$B19,"-2",1000001,"-2","Alle","-2","foerderung")/1000000</f>
        <v>6630.28070897</v>
      </c>
      <c r="U19" s="326">
        <f ca="1">_xll.PALO.DATAC("jedoxtest/EU_PM_CUBE02","EUPM_Mittel2_Cube",Datenstand,"Alle Beteiligungen","Alle Koordinatoren","Alle Unternehmensgrößen","-2","Alle Organisationstypen",14,"Alle Expertevaluierungsstatus",$B19,"-2",1,"-2","Alle","-2","foerderung")/1000000</f>
        <v>124.11431263</v>
      </c>
      <c r="V19" s="224">
        <f ca="1">IFERROR(_xll.PALO.DATAC("jedoxtest/EU_PM_CUBE02","EUPM_Mittel2_Cube",Datenstand,"Alle Beteiligungen","Alle Koordinatoren","Alle Unternehmensgrößen","-2","Alle Organisationstypen",14,"Alle Expertevaluierungsstatus",$B19,"-2",1,"-2","Alle","-2","foerderung")/_xll.PALO.DATAC("jedoxtest/EU_PM_CUBE02","EUPM_Mittel2_Cube",Datenstand,"Alle Beteiligungen","Alle Koordinatoren","Alle Unternehmensgrößen","-2","Alle Organisationstypen",14,"Alle Expertevaluierungsstatus",$B19,"-2",-2,"-2","Alle","-2","foerderung"),"-  ")</f>
        <v>1.7098601720742273E-2</v>
      </c>
    </row>
    <row r="20" spans="1:23" ht="15" customHeight="1">
      <c r="B20" t="s">
        <v>152</v>
      </c>
      <c r="C20" s="473" t="str">
        <f ca="1">_xll.PALO.DATA("jedoxtest/EU_PM_CUBE02","#_Programme","Langbezeichnung",$B20)</f>
        <v>The European Innovation Council (EIC)</v>
      </c>
      <c r="D20" s="226">
        <f ca="1">_xll.PALO.DATAC("jedoxtest/EU_PM_CUBE02","EUPM_Mittel2_Cube",Datenstand,"Alle Beteiligungen","Alle Koordinatoren","Alle Unternehmensgrößen","-2","Alle Organisationstypen",5,"Alle Expertevaluierungsstatus",$B20,"-2","-2","-2","Alle","-2","anzahl_beteiligungen")</f>
        <v>64241</v>
      </c>
      <c r="E20" s="226">
        <f ca="1">_xll.PALO.DATAC("jedoxtest/EU_PM_CUBE02","EUPM_Mittel2_Cube",Datenstand,"Alle Beteiligungen","Alle Koordinatoren","Alle Unternehmensgrößen","-2","Alle Organisationstypen",5,"Alle Expertevaluierungsstatus",$B20,"-2",1000001,"-2","Alle","-2","anzahl_beteiligungen")</f>
        <v>53146</v>
      </c>
      <c r="F20" s="230">
        <f ca="1">_xll.PALO.DATAC("jedoxtest/EU_PM_CUBE02","EUPM_Mittel2_Cube",Datenstand,"Alle Beteiligungen","Alle Koordinatoren","Alle Unternehmensgrößen","-2","Alle Organisationstypen",5,"Alle Expertevaluierungsstatus",$B20,"-2",1,"-2","Alle","-2","anzahl_beteiligungen")</f>
        <v>1707</v>
      </c>
      <c r="G20" s="227">
        <f ca="1">IFERROR(_xll.PALO.DATAC("jedoxtest/EU_PM_CUBE02","EUPM_Mittel2_Cube",Datenstand,"Alle Beteiligungen","Alle Koordinatoren","Alle Unternehmensgrößen","-2","Alle Organisationstypen",5,"Alle Expertevaluierungsstatus",$B20,"-2",1,"-2","Alle","-2","anzahl_beteiligungen")/_xll.PALO.DATAC("jedoxtest/EU_PM_CUBE02","EUPM_Mittel2_Cube",Datenstand,"Alle Beteiligungen","Alle Koordinatoren","Alle Unternehmensgrößen","-2","Alle Organisationstypen",5,"Alle Expertevaluierungsstatus",$B20,"-2",-2,"-2","Alle","-2","anzahl_beteiligungen"),"-  ")</f>
        <v>2.6571815507230586E-2</v>
      </c>
      <c r="H20" s="226">
        <f ca="1">_xll.PALO.DATAC("jedoxtest/EU_PM_CUBE02","EUPM_Mittel2_Cube",Datenstand,"Alle Beteiligungen","Alle Koordinatoren","Alle Unternehmensgrößen","-2","Alle Organisationstypen",14,"Alle Expertevaluierungsstatus",$B20,"-2","-2","-2","Alle","-2","anzahl_beteiligungen")</f>
        <v>6180</v>
      </c>
      <c r="I20" s="226">
        <f ca="1">_xll.PALO.DATAC("jedoxtest/EU_PM_CUBE02","EUPM_Mittel2_Cube",Datenstand,"Alle Beteiligungen","Alle Koordinatoren","Alle Unternehmensgrößen","-2","Alle Organisationstypen",14,"Alle Expertevaluierungsstatus",$B20,"-2",1000001,"-2","Alle","-2","anzahl_beteiligungen")</f>
        <v>4982</v>
      </c>
      <c r="J20" s="230">
        <f ca="1">_xll.PALO.DATAC("jedoxtest/EU_PM_CUBE02","EUPM_Mittel2_Cube",Datenstand,"Alle Beteiligungen","Alle Koordinatoren","Alle Unternehmensgrößen","-2","Alle Organisationstypen",14,"Alle Expertevaluierungsstatus",$B20,"-2",1,"-2","Alle","-2","anzahl_beteiligungen")</f>
        <v>155</v>
      </c>
      <c r="K20" s="227">
        <f ca="1">IFERROR(_xll.PALO.DATAC("jedoxtest/EU_PM_CUBE02","EUPM_Mittel2_Cube",Datenstand,"Alle Beteiligungen","Alle Koordinatoren","Alle Unternehmensgrößen","-2","Alle Organisationstypen",14,"Alle Expertevaluierungsstatus",$B20,"-2",1,"-2","Alle","-2","anzahl_beteiligungen")/_xll.PALO.DATAC("jedoxtest/EU_PM_CUBE02","EUPM_Mittel2_Cube",Datenstand,"Alle Beteiligungen","Alle Koordinatoren","Alle Unternehmensgrößen","-2","Alle Organisationstypen",14,"Alle Expertevaluierungsstatus",$B20,"-2",-2,"-2","Alle","-2","anzahl_beteiligungen"),"-  ")</f>
        <v>2.5080906148867314E-2</v>
      </c>
      <c r="L20" s="227">
        <f t="shared" ca="1" si="0"/>
        <v>9.6200245948848864E-2</v>
      </c>
      <c r="M20" s="227">
        <f t="shared" ca="1" si="0"/>
        <v>9.3741767959959352E-2</v>
      </c>
      <c r="N20" s="227">
        <f t="shared" ca="1" si="0"/>
        <v>9.0802577621558286E-2</v>
      </c>
      <c r="O20" s="226">
        <f ca="1">_xll.PALO.DATAC("jedoxtest/EU_PM_CUBE02","EUPM_Mittel2_Cube",Datenstand,"Alle Beteiligungen","Alle Koordinatoren","Alle Unternehmensgrößen","-2","Alle Organisationstypen",14,"Alle Expertevaluierungsstatus",$B20,"-2","-2","-2","Alle","-2","anzahl_koordinatoren")</f>
        <v>3340</v>
      </c>
      <c r="P20" s="226">
        <f ca="1">_xll.PALO.DATAC("jedoxtest/EU_PM_CUBE02","EUPM_Mittel2_Cube",Datenstand,"Alle Beteiligungen","Alle Koordinatoren","Alle Unternehmensgrößen","-2","Alle Organisationstypen",14,"Alle Expertevaluierungsstatus",$B20,"-2",1000001,"-2","Alle","-2","anzahl_koordinatoren")</f>
        <v>2563</v>
      </c>
      <c r="Q20" s="230">
        <f ca="1">_xll.PALO.DATAC("jedoxtest/EU_PM_CUBE02","EUPM_Mittel2_Cube",Datenstand,"Alle Beteiligungen","Alle Koordinatoren","Alle Unternehmensgrößen","-2","Alle Organisationstypen",14,"Alle Expertevaluierungsstatus",$B20,"-2",1,"-2","Alle","-2","anzahl_koordinatoren")</f>
        <v>72</v>
      </c>
      <c r="R20" s="227">
        <f ca="1">IFERROR(_xll.PALO.DATAC("jedoxtest/EU_PM_CUBE02","EUPM_Mittel2_Cube",Datenstand,"Alle Beteiligungen","Alle Koordinatoren","Alle Unternehmensgrößen","-2","Alle Organisationstypen",14,"Alle Expertevaluierungsstatus",$B20,"-2",1,"-2","Alle","-2","anzahl_koordinatoren")/_xll.PALO.DATAC("jedoxtest/EU_PM_CUBE02","EUPM_Mittel2_Cube",Datenstand,"Alle Beteiligungen","Alle Koordinatoren","Alle Unternehmensgrößen","-2","Alle Organisationstypen",14,"Alle Expertevaluierungsstatus",$B20,"-2",-2,"-2","Alle","-2","anzahl_koordinatoren"),"-  ")</f>
        <v>2.1556886227544911E-2</v>
      </c>
      <c r="S20" s="228">
        <f ca="1">_xll.PALO.DATAC("jedoxtest/EU_PM_CUBE02","EUPM_Mittel2_Cube",Datenstand,"Alle Beteiligungen","Alle Koordinatoren","Alle Unternehmensgrößen","-2","Alle Organisationstypen",14,"Alle Expertevaluierungsstatus",$B20,"-2","-2","-2","Alle","-2","foerderung")/1000000</f>
        <v>4421.9041439599996</v>
      </c>
      <c r="T20" s="228">
        <f ca="1">_xll.PALO.DATAC("jedoxtest/EU_PM_CUBE02","EUPM_Mittel2_Cube",Datenstand,"Alle Beteiligungen","Alle Koordinatoren","Alle Unternehmensgrößen","-2","Alle Organisationstypen",14,"Alle Expertevaluierungsstatus",$B20,"-2",1000001,"-2","Alle","-2","foerderung")/1000000</f>
        <v>3871.8843271199999</v>
      </c>
      <c r="U20" s="228">
        <f ca="1">_xll.PALO.DATAC("jedoxtest/EU_PM_CUBE02","EUPM_Mittel2_Cube",Datenstand,"Alle Beteiligungen","Alle Koordinatoren","Alle Unternehmensgrößen","-2","Alle Organisationstypen",14,"Alle Expertevaluierungsstatus",$B20,"-2",1,"-2","Alle","-2","foerderung")/1000000</f>
        <v>102.04058525000001</v>
      </c>
      <c r="V20" s="224">
        <f ca="1">IFERROR(_xll.PALO.DATAC("jedoxtest/EU_PM_CUBE02","EUPM_Mittel2_Cube",Datenstand,"Alle Beteiligungen","Alle Koordinatoren","Alle Unternehmensgrößen","-2","Alle Organisationstypen",14,"Alle Expertevaluierungsstatus",$B20,"-2",1,"-2","Alle","-2","foerderung")/_xll.PALO.DATAC("jedoxtest/EU_PM_CUBE02","EUPM_Mittel2_Cube",Datenstand,"Alle Beteiligungen","Alle Koordinatoren","Alle Unternehmensgrößen","-2","Alle Organisationstypen",14,"Alle Expertevaluierungsstatus",$B20,"-2",-2,"-2","Alle","-2","foerderung"),"-  ")</f>
        <v>2.3076164007168727E-2</v>
      </c>
    </row>
    <row r="21" spans="1:23" ht="15" customHeight="1">
      <c r="B21" t="s">
        <v>153</v>
      </c>
      <c r="C21" s="473" t="str">
        <f ca="1">_xll.PALO.DATA("jedoxtest/EU_PM_CUBE02","#_Programme","Langbezeichnung",$B21)</f>
        <v>European innovation ecosystems</v>
      </c>
      <c r="D21" s="226">
        <f ca="1">_xll.PALO.DATAC("jedoxtest/EU_PM_CUBE02","EUPM_Mittel2_Cube",Datenstand,"Alle Beteiligungen","Alle Koordinatoren","Alle Unternehmensgrößen","-2","Alle Organisationstypen",5,"Alle Expertevaluierungsstatus",$B21,"-2","-2","-2","Alle","-2","anzahl_beteiligungen")</f>
        <v>6726</v>
      </c>
      <c r="E21" s="226">
        <f ca="1">_xll.PALO.DATAC("jedoxtest/EU_PM_CUBE02","EUPM_Mittel2_Cube",Datenstand,"Alle Beteiligungen","Alle Koordinatoren","Alle Unternehmensgrößen","-2","Alle Organisationstypen",5,"Alle Expertevaluierungsstatus",$B21,"-2",1000001,"-2","Alle","-2","anzahl_beteiligungen")</f>
        <v>5604</v>
      </c>
      <c r="F21" s="230">
        <f ca="1">_xll.PALO.DATAC("jedoxtest/EU_PM_CUBE02","EUPM_Mittel2_Cube",Datenstand,"Alle Beteiligungen","Alle Koordinatoren","Alle Unternehmensgrößen","-2","Alle Organisationstypen",5,"Alle Expertevaluierungsstatus",$B21,"-2",1,"-2","Alle","-2","anzahl_beteiligungen")</f>
        <v>139</v>
      </c>
      <c r="G21" s="227">
        <f ca="1">IFERROR(_xll.PALO.DATAC("jedoxtest/EU_PM_CUBE02","EUPM_Mittel2_Cube",Datenstand,"Alle Beteiligungen","Alle Koordinatoren","Alle Unternehmensgrößen","-2","Alle Organisationstypen",5,"Alle Expertevaluierungsstatus",$B21,"-2",1,"-2","Alle","-2","anzahl_beteiligungen")/_xll.PALO.DATAC("jedoxtest/EU_PM_CUBE02","EUPM_Mittel2_Cube",Datenstand,"Alle Beteiligungen","Alle Koordinatoren","Alle Unternehmensgrößen","-2","Alle Organisationstypen",5,"Alle Expertevaluierungsstatus",$B21,"-2",-2,"-2","Alle","-2","anzahl_beteiligungen"),"-  ")</f>
        <v>2.0666071959559915E-2</v>
      </c>
      <c r="H21" s="226">
        <f ca="1">_xll.PALO.DATAC("jedoxtest/EU_PM_CUBE02","EUPM_Mittel2_Cube",Datenstand,"Alle Beteiligungen","Alle Koordinatoren","Alle Unternehmensgrößen","-2","Alle Organisationstypen",14,"Alle Expertevaluierungsstatus",$B21,"-2","-2","-2","Alle","-2","anzahl_beteiligungen")</f>
        <v>1106</v>
      </c>
      <c r="I21" s="226">
        <f ca="1">_xll.PALO.DATAC("jedoxtest/EU_PM_CUBE02","EUPM_Mittel2_Cube",Datenstand,"Alle Beteiligungen","Alle Koordinatoren","Alle Unternehmensgrößen","-2","Alle Organisationstypen",14,"Alle Expertevaluierungsstatus",$B21,"-2",1000001,"-2","Alle","-2","anzahl_beteiligungen")</f>
        <v>976</v>
      </c>
      <c r="J21" s="230">
        <f ca="1">_xll.PALO.DATAC("jedoxtest/EU_PM_CUBE02","EUPM_Mittel2_Cube",Datenstand,"Alle Beteiligungen","Alle Koordinatoren","Alle Unternehmensgrößen","-2","Alle Organisationstypen",14,"Alle Expertevaluierungsstatus",$B21,"-2",1,"-2","Alle","-2","anzahl_beteiligungen")</f>
        <v>26</v>
      </c>
      <c r="K21" s="227">
        <f ca="1">IFERROR(_xll.PALO.DATAC("jedoxtest/EU_PM_CUBE02","EUPM_Mittel2_Cube",Datenstand,"Alle Beteiligungen","Alle Koordinatoren","Alle Unternehmensgrößen","-2","Alle Organisationstypen",14,"Alle Expertevaluierungsstatus",$B21,"-2",1,"-2","Alle","-2","anzahl_beteiligungen")/_xll.PALO.DATAC("jedoxtest/EU_PM_CUBE02","EUPM_Mittel2_Cube",Datenstand,"Alle Beteiligungen","Alle Koordinatoren","Alle Unternehmensgrößen","-2","Alle Organisationstypen",14,"Alle Expertevaluierungsstatus",$B21,"-2",-2,"-2","Alle","-2","anzahl_beteiligungen"),"-  ")</f>
        <v>2.3508137432188065E-2</v>
      </c>
      <c r="L21" s="227">
        <f t="shared" ca="1" si="0"/>
        <v>0.16443651501635445</v>
      </c>
      <c r="M21" s="227">
        <f t="shared" ca="1" si="0"/>
        <v>0.17416131334760884</v>
      </c>
      <c r="N21" s="227">
        <f t="shared" ca="1" si="0"/>
        <v>0.18705035971223022</v>
      </c>
      <c r="O21" s="226">
        <f ca="1">_xll.PALO.DATAC("jedoxtest/EU_PM_CUBE02","EUPM_Mittel2_Cube",Datenstand,"Alle Beteiligungen","Alle Koordinatoren","Alle Unternehmensgrößen","-2","Alle Organisationstypen",14,"Alle Expertevaluierungsstatus",$B21,"-2","-2","-2","Alle","-2","anzahl_koordinatoren")</f>
        <v>285</v>
      </c>
      <c r="P21" s="226">
        <f ca="1">_xll.PALO.DATAC("jedoxtest/EU_PM_CUBE02","EUPM_Mittel2_Cube",Datenstand,"Alle Beteiligungen","Alle Koordinatoren","Alle Unternehmensgrößen","-2","Alle Organisationstypen",14,"Alle Expertevaluierungsstatus",$B21,"-2",1000001,"-2","Alle","-2","anzahl_koordinatoren")</f>
        <v>247</v>
      </c>
      <c r="Q21" s="230">
        <f ca="1">_xll.PALO.DATAC("jedoxtest/EU_PM_CUBE02","EUPM_Mittel2_Cube",Datenstand,"Alle Beteiligungen","Alle Koordinatoren","Alle Unternehmensgrößen","-2","Alle Organisationstypen",14,"Alle Expertevaluierungsstatus",$B21,"-2",1,"-2","Alle","-2","anzahl_koordinatoren")</f>
        <v>5</v>
      </c>
      <c r="R21" s="227">
        <f ca="1">IFERROR(_xll.PALO.DATAC("jedoxtest/EU_PM_CUBE02","EUPM_Mittel2_Cube",Datenstand,"Alle Beteiligungen","Alle Koordinatoren","Alle Unternehmensgrößen","-2","Alle Organisationstypen",14,"Alle Expertevaluierungsstatus",$B21,"-2",1,"-2","Alle","-2","anzahl_koordinatoren")/_xll.PALO.DATAC("jedoxtest/EU_PM_CUBE02","EUPM_Mittel2_Cube",Datenstand,"Alle Beteiligungen","Alle Koordinatoren","Alle Unternehmensgrößen","-2","Alle Organisationstypen",14,"Alle Expertevaluierungsstatus",$B21,"-2",-2,"-2","Alle","-2","anzahl_koordinatoren"),"-  ")</f>
        <v>1.7543859649122806E-2</v>
      </c>
      <c r="S21" s="228">
        <f ca="1">_xll.PALO.DATAC("jedoxtest/EU_PM_CUBE02","EUPM_Mittel2_Cube",Datenstand,"Alle Beteiligungen","Alle Koordinatoren","Alle Unternehmensgrößen","-2","Alle Organisationstypen",14,"Alle Expertevaluierungsstatus",$B21,"-2","-2","-2","Alle","-2","foerderung")/1000000</f>
        <v>452.63070062999998</v>
      </c>
      <c r="T21" s="228">
        <f ca="1">_xll.PALO.DATAC("jedoxtest/EU_PM_CUBE02","EUPM_Mittel2_Cube",Datenstand,"Alle Beteiligungen","Alle Koordinatoren","Alle Unternehmensgrößen","-2","Alle Organisationstypen",14,"Alle Expertevaluierungsstatus",$B21,"-2",1000001,"-2","Alle","-2","foerderung")/1000000</f>
        <v>377.68481035000002</v>
      </c>
      <c r="U21" s="228">
        <f ca="1">_xll.PALO.DATAC("jedoxtest/EU_PM_CUBE02","EUPM_Mittel2_Cube",Datenstand,"Alle Beteiligungen","Alle Koordinatoren","Alle Unternehmensgrößen","-2","Alle Organisationstypen",14,"Alle Expertevaluierungsstatus",$B21,"-2",1,"-2","Alle","-2","foerderung")/1000000</f>
        <v>13.33938013</v>
      </c>
      <c r="V21" s="224">
        <f ca="1">IFERROR(_xll.PALO.DATAC("jedoxtest/EU_PM_CUBE02","EUPM_Mittel2_Cube",Datenstand,"Alle Beteiligungen","Alle Koordinatoren","Alle Unternehmensgrößen","-2","Alle Organisationstypen",14,"Alle Expertevaluierungsstatus",$B21,"-2",1,"-2","Alle","-2","foerderung")/_xll.PALO.DATAC("jedoxtest/EU_PM_CUBE02","EUPM_Mittel2_Cube",Datenstand,"Alle Beteiligungen","Alle Koordinatoren","Alle Unternehmensgrößen","-2","Alle Organisationstypen",14,"Alle Expertevaluierungsstatus",$B21,"-2",-2,"-2","Alle","-2","foerderung"),"-  ")</f>
        <v>2.947078073014802E-2</v>
      </c>
    </row>
    <row r="22" spans="1:23" ht="15" customHeight="1">
      <c r="B22" t="s">
        <v>154</v>
      </c>
      <c r="C22" s="473"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Organisationstypen",5,"Alle Expertevaluierungsstatus",$B22,"-2","-2","-2","Alle","-2","anzahl_beteiligungen")</f>
        <v>321</v>
      </c>
      <c r="E22" s="226">
        <f ca="1">_xll.PALO.DATAC("jedoxtest/EU_PM_CUBE02","EUPM_Mittel2_Cube",Datenstand,"Alle Beteiligungen","Alle Koordinatoren","Alle Unternehmensgrößen","-2","Alle Organisationstypen",5,"Alle Expertevaluierungsstatus",$B22,"-2",1000001,"-2","Alle","-2","anzahl_beteiligungen")</f>
        <v>301</v>
      </c>
      <c r="F22" s="230">
        <f ca="1">_xll.PALO.DATAC("jedoxtest/EU_PM_CUBE02","EUPM_Mittel2_Cube",Datenstand,"Alle Beteiligungen","Alle Koordinatoren","Alle Unternehmensgrößen","-2","Alle Organisationstypen",5,"Alle Expertevaluierungsstatus",$B22,"-2",1,"-2","Alle","-2","anzahl_beteiligungen")</f>
        <v>8</v>
      </c>
      <c r="G22" s="227">
        <f ca="1">IFERROR(_xll.PALO.DATAC("jedoxtest/EU_PM_CUBE02","EUPM_Mittel2_Cube",Datenstand,"Alle Beteiligungen","Alle Koordinatoren","Alle Unternehmensgrößen","-2","Alle Organisationstypen",5,"Alle Expertevaluierungsstatus",$B22,"-2",1,"-2","Alle","-2","anzahl_beteiligungen")/_xll.PALO.DATAC("jedoxtest/EU_PM_CUBE02","EUPM_Mittel2_Cube",Datenstand,"Alle Beteiligungen","Alle Koordinatoren","Alle Unternehmensgrößen","-2","Alle Organisationstypen",5,"Alle Expertevaluierungsstatus",$B22,"-2",-2,"-2","Alle","-2","anzahl_beteiligungen"),"-  ")</f>
        <v>2.4922118380062305E-2</v>
      </c>
      <c r="H22" s="226">
        <f ca="1">_xll.PALO.DATAC("jedoxtest/EU_PM_CUBE02","EUPM_Mittel2_Cube",Datenstand,"Alle Beteiligungen","Alle Koordinatoren","Alle Unternehmensgrößen","-2","Alle Organisationstypen",14,"Alle Expertevaluierungsstatus",$B22,"-2","-2","-2","Alle","-2","anzahl_beteiligungen")</f>
        <v>296</v>
      </c>
      <c r="I22" s="226">
        <f ca="1">_xll.PALO.DATAC("jedoxtest/EU_PM_CUBE02","EUPM_Mittel2_Cube",Datenstand,"Alle Beteiligungen","Alle Koordinatoren","Alle Unternehmensgrößen","-2","Alle Organisationstypen",14,"Alle Expertevaluierungsstatus",$B22,"-2",1000001,"-2","Alle","-2","anzahl_beteiligungen")</f>
        <v>277</v>
      </c>
      <c r="J22" s="230">
        <f ca="1">_xll.PALO.DATAC("jedoxtest/EU_PM_CUBE02","EUPM_Mittel2_Cube",Datenstand,"Alle Beteiligungen","Alle Koordinatoren","Alle Unternehmensgrößen","-2","Alle Organisationstypen",14,"Alle Expertevaluierungsstatus",$B22,"-2",1,"-2","Alle","-2","anzahl_beteiligungen")</f>
        <v>7</v>
      </c>
      <c r="K22" s="227">
        <f ca="1">IFERROR(_xll.PALO.DATAC("jedoxtest/EU_PM_CUBE02","EUPM_Mittel2_Cube",Datenstand,"Alle Beteiligungen","Alle Koordinatoren","Alle Unternehmensgrößen","-2","Alle Organisationstypen",14,"Alle Expertevaluierungsstatus",$B22,"-2",1,"-2","Alle","-2","anzahl_beteiligungen")/_xll.PALO.DATAC("jedoxtest/EU_PM_CUBE02","EUPM_Mittel2_Cube",Datenstand,"Alle Beteiligungen","Alle Koordinatoren","Alle Unternehmensgrößen","-2","Alle Organisationstypen",14,"Alle Expertevaluierungsstatus",$B22,"-2",-2,"-2","Alle","-2","anzahl_beteiligungen"),"-  ")</f>
        <v>2.364864864864865E-2</v>
      </c>
      <c r="L22" s="227">
        <f t="shared" ca="1" si="0"/>
        <v>0.92211838006230529</v>
      </c>
      <c r="M22" s="227">
        <f t="shared" ca="1" si="0"/>
        <v>0.92026578073089704</v>
      </c>
      <c r="N22" s="227">
        <f t="shared" ca="1" si="0"/>
        <v>0.875</v>
      </c>
      <c r="O22" s="226">
        <f ca="1">_xll.PALO.DATAC("jedoxtest/EU_PM_CUBE02","EUPM_Mittel2_Cube",Datenstand,"Alle Beteiligungen","Alle Koordinatoren","Alle Unternehmensgrößen","-2","Alle Organisationstypen",14,"Alle Expertevaluierungsstatus",$B22,"-2","-2","-2","Alle","-2","anzahl_koordinatoren")</f>
        <v>47</v>
      </c>
      <c r="P22" s="226">
        <f ca="1">_xll.PALO.DATAC("jedoxtest/EU_PM_CUBE02","EUPM_Mittel2_Cube",Datenstand,"Alle Beteiligungen","Alle Koordinatoren","Alle Unternehmensgrößen","-2","Alle Organisationstypen",14,"Alle Expertevaluierungsstatus",$B22,"-2",1000001,"-2","Alle","-2","anzahl_koordinatoren")</f>
        <v>46</v>
      </c>
      <c r="Q22" s="230">
        <f ca="1">_xll.PALO.DATAC("jedoxtest/EU_PM_CUBE02","EUPM_Mittel2_Cube",Datenstand,"Alle Beteiligungen","Alle Koordinatoren","Alle Unternehmensgrößen","-2","Alle Organisationstypen",14,"Alle Expertevaluierungsstatus",$B22,"-2",1,"-2","Alle","-2","anzahl_koordinatoren")</f>
        <v>0</v>
      </c>
      <c r="R22" s="227">
        <f ca="1">IFERROR(_xll.PALO.DATAC("jedoxtest/EU_PM_CUBE02","EUPM_Mittel2_Cube",Datenstand,"Alle Beteiligungen","Alle Koordinatoren","Alle Unternehmensgrößen","-2","Alle Organisationstypen",14,"Alle Expertevaluierungsstatus",$B22,"-2",1,"-2","Alle","-2","anzahl_koordinatoren")/_xll.PALO.DATAC("jedoxtest/EU_PM_CUBE02","EUPM_Mittel2_Cube",Datenstand,"Alle Beteiligungen","Alle Koordinatoren","Alle Unternehmensgrößen","-2","Alle Organisationstypen",14,"Alle Expertevaluierungsstatus",$B22,"-2",-2,"-2","Alle","-2","anzahl_koordinatoren"),"-  ")</f>
        <v>0</v>
      </c>
      <c r="S22" s="228">
        <f ca="1">_xll.PALO.DATAC("jedoxtest/EU_PM_CUBE02","EUPM_Mittel2_Cube",Datenstand,"Alle Beteiligungen","Alle Koordinatoren","Alle Unternehmensgrößen","-2","Alle Organisationstypen",14,"Alle Expertevaluierungsstatus",$B22,"-2","-2","-2","Alle","-2","foerderung")/1000000</f>
        <v>2384.2056452500001</v>
      </c>
      <c r="T22" s="228">
        <f ca="1">_xll.PALO.DATAC("jedoxtest/EU_PM_CUBE02","EUPM_Mittel2_Cube",Datenstand,"Alle Beteiligungen","Alle Koordinatoren","Alle Unternehmensgrößen","-2","Alle Organisationstypen",14,"Alle Expertevaluierungsstatus",$B22,"-2",1000001,"-2","Alle","-2","foerderung")/1000000</f>
        <v>2380.7115715</v>
      </c>
      <c r="U22" s="228">
        <f ca="1">_xll.PALO.DATAC("jedoxtest/EU_PM_CUBE02","EUPM_Mittel2_Cube",Datenstand,"Alle Beteiligungen","Alle Koordinatoren","Alle Unternehmensgrößen","-2","Alle Organisationstypen",14,"Alle Expertevaluierungsstatus",$B22,"-2",1,"-2","Alle","-2","foerderung")/1000000</f>
        <v>8.7343472500000008</v>
      </c>
      <c r="V22" s="224">
        <f ca="1">IFERROR(_xll.PALO.DATAC("jedoxtest/EU_PM_CUBE02","EUPM_Mittel2_Cube",Datenstand,"Alle Beteiligungen","Alle Koordinatoren","Alle Unternehmensgrößen","-2","Alle Organisationstypen",14,"Alle Expertevaluierungsstatus",$B22,"-2",1,"-2","Alle","-2","foerderung")/_xll.PALO.DATAC("jedoxtest/EU_PM_CUBE02","EUPM_Mittel2_Cube",Datenstand,"Alle Beteiligungen","Alle Koordinatoren","Alle Unternehmensgrößen","-2","Alle Organisationstypen",14,"Alle Expertevaluierungsstatus",$B22,"-2",-2,"-2","Alle","-2","foerderung"),"-  ")</f>
        <v>3.6634202537860969E-3</v>
      </c>
    </row>
    <row r="23" spans="1:23" ht="33" customHeight="1">
      <c r="B23" t="s">
        <v>155</v>
      </c>
      <c r="C23" s="361" t="str">
        <f ca="1">_xll.PALO.DATA("jedoxtest/EU_PM_CUBE02","#_Programme","Langbezeichnung",$B23)</f>
        <v>Widening Participation and Strengthening the European Research Area</v>
      </c>
      <c r="D23" s="206">
        <f ca="1">_xll.PALO.DATAC("jedoxtest/EU_PM_CUBE02","EUPM_Mittel2_Cube",Datenstand,"Alle Beteiligungen","Alle Koordinatoren","Alle Unternehmensgrößen","-2","Alle Organisationstypen",5,"Alle Expertevaluierungsstatus",$B23,"-2","-2","-2","Alle","-2","anzahl_beteiligungen")</f>
        <v>25362</v>
      </c>
      <c r="E23" s="206">
        <f ca="1">_xll.PALO.DATAC("jedoxtest/EU_PM_CUBE02","EUPM_Mittel2_Cube",Datenstand,"Alle Beteiligungen","Alle Koordinatoren","Alle Unternehmensgrößen","-2","Alle Organisationstypen",5,"Alle Expertevaluierungsstatus",$B23,"-2",1000001,"-2","Alle","-2","anzahl_beteiligungen")</f>
        <v>20494</v>
      </c>
      <c r="F23" s="362">
        <f ca="1">_xll.PALO.DATAC("jedoxtest/EU_PM_CUBE02","EUPM_Mittel2_Cube",Datenstand,"Alle Beteiligungen","Alle Koordinatoren","Alle Unternehmensgrößen","-2","Alle Organisationstypen",5,"Alle Expertevaluierungsstatus",$B23,"-2",1,"-2","Alle","-2","anzahl_beteiligungen")</f>
        <v>520</v>
      </c>
      <c r="G23" s="325">
        <f ca="1">IFERROR(_xll.PALO.DATAC("jedoxtest/EU_PM_CUBE02","EUPM_Mittel2_Cube",Datenstand,"Alle Beteiligungen","Alle Koordinatoren","Alle Unternehmensgrößen","-2","Alle Organisationstypen",5,"Alle Expertevaluierungsstatus",$B23,"-2",1,"-2","Alle","-2","anzahl_beteiligungen")/_xll.PALO.DATAC("jedoxtest/EU_PM_CUBE02","EUPM_Mittel2_Cube",Datenstand,"Alle Beteiligungen","Alle Koordinatoren","Alle Unternehmensgrößen","-2","Alle Organisationstypen",5,"Alle Expertevaluierungsstatus",$B23,"-2",-2,"-2","Alle","-2","anzahl_beteiligungen"),"-  ")</f>
        <v>2.0503114896301553E-2</v>
      </c>
      <c r="H23" s="206">
        <f ca="1">_xll.PALO.DATAC("jedoxtest/EU_PM_CUBE02","EUPM_Mittel2_Cube",Datenstand,"Alle Beteiligungen","Alle Koordinatoren","Alle Unternehmensgrößen","-2","Alle Organisationstypen",14,"Alle Expertevaluierungsstatus",$B23,"-2","-2","-2","Alle","-2","anzahl_beteiligungen")</f>
        <v>4894</v>
      </c>
      <c r="I23" s="206">
        <f ca="1">_xll.PALO.DATAC("jedoxtest/EU_PM_CUBE02","EUPM_Mittel2_Cube",Datenstand,"Alle Beteiligungen","Alle Koordinatoren","Alle Unternehmensgrößen","-2","Alle Organisationstypen",14,"Alle Expertevaluierungsstatus",$B23,"-2",1000001,"-2","Alle","-2","anzahl_beteiligungen")</f>
        <v>4100</v>
      </c>
      <c r="J23" s="362">
        <f ca="1">_xll.PALO.DATAC("jedoxtest/EU_PM_CUBE02","EUPM_Mittel2_Cube",Datenstand,"Alle Beteiligungen","Alle Koordinatoren","Alle Unternehmensgrößen","-2","Alle Organisationstypen",14,"Alle Expertevaluierungsstatus",$B23,"-2",1,"-2","Alle","-2","anzahl_beteiligungen")</f>
        <v>110</v>
      </c>
      <c r="K23" s="325">
        <f ca="1">IFERROR(_xll.PALO.DATAC("jedoxtest/EU_PM_CUBE02","EUPM_Mittel2_Cube",Datenstand,"Alle Beteiligungen","Alle Koordinatoren","Alle Unternehmensgrößen","-2","Alle Organisationstypen",14,"Alle Expertevaluierungsstatus",$B23,"-2",1,"-2","Alle","-2","anzahl_beteiligungen")/_xll.PALO.DATAC("jedoxtest/EU_PM_CUBE02","EUPM_Mittel2_Cube",Datenstand,"Alle Beteiligungen","Alle Koordinatoren","Alle Unternehmensgrößen","-2","Alle Organisationstypen",14,"Alle Expertevaluierungsstatus",$B23,"-2",-2,"-2","Alle","-2","anzahl_beteiligungen"),"-  ")</f>
        <v>2.2476501838986515E-2</v>
      </c>
      <c r="L23" s="325">
        <f t="shared" ca="1" si="0"/>
        <v>0.19296585442788425</v>
      </c>
      <c r="M23" s="325">
        <f t="shared" ca="1" si="0"/>
        <v>0.20005855372304088</v>
      </c>
      <c r="N23" s="325">
        <f t="shared" ca="1" si="0"/>
        <v>0.21153846153846154</v>
      </c>
      <c r="O23" s="206">
        <f ca="1">_xll.PALO.DATAC("jedoxtest/EU_PM_CUBE02","EUPM_Mittel2_Cube",Datenstand,"Alle Beteiligungen","Alle Koordinatoren","Alle Unternehmensgrößen","-2","Alle Organisationstypen",14,"Alle Expertevaluierungsstatus",$B23,"-2","-2","-2","Alle","-2","anzahl_koordinatoren")</f>
        <v>1163</v>
      </c>
      <c r="P23" s="206">
        <f ca="1">_xll.PALO.DATAC("jedoxtest/EU_PM_CUBE02","EUPM_Mittel2_Cube",Datenstand,"Alle Beteiligungen","Alle Koordinatoren","Alle Unternehmensgrößen","-2","Alle Organisationstypen",14,"Alle Expertevaluierungsstatus",$B23,"-2",1000001,"-2","Alle","-2","anzahl_koordinatoren")</f>
        <v>1013</v>
      </c>
      <c r="Q23" s="362">
        <f ca="1">_xll.PALO.DATAC("jedoxtest/EU_PM_CUBE02","EUPM_Mittel2_Cube",Datenstand,"Alle Beteiligungen","Alle Koordinatoren","Alle Unternehmensgrößen","-2","Alle Organisationstypen",14,"Alle Expertevaluierungsstatus",$B23,"-2",1,"-2","Alle","-2","anzahl_koordinatoren")</f>
        <v>20</v>
      </c>
      <c r="R23" s="325">
        <f ca="1">IFERROR(_xll.PALO.DATAC("jedoxtest/EU_PM_CUBE02","EUPM_Mittel2_Cube",Datenstand,"Alle Beteiligungen","Alle Koordinatoren","Alle Unternehmensgrößen","-2","Alle Organisationstypen",14,"Alle Expertevaluierungsstatus",$B23,"-2",1,"-2","Alle","-2","anzahl_koordinatoren")/_xll.PALO.DATAC("jedoxtest/EU_PM_CUBE02","EUPM_Mittel2_Cube",Datenstand,"Alle Beteiligungen","Alle Koordinatoren","Alle Unternehmensgrößen","-2","Alle Organisationstypen",14,"Alle Expertevaluierungsstatus",$B23,"-2",-2,"-2","Alle","-2","anzahl_koordinatoren"),"-  ")</f>
        <v>1.7196904557179708E-2</v>
      </c>
      <c r="S23" s="326">
        <f ca="1">_xll.PALO.DATAC("jedoxtest/EU_PM_CUBE02","EUPM_Mittel2_Cube",Datenstand,"Alle Beteiligungen","Alle Koordinatoren","Alle Unternehmensgrößen","-2","Alle Organisationstypen",14,"Alle Expertevaluierungsstatus",$B23,"-2","-2","-2","Alle","-2","foerderung")/1000000</f>
        <v>2236.2012598000001</v>
      </c>
      <c r="T23" s="326">
        <f ca="1">_xll.PALO.DATAC("jedoxtest/EU_PM_CUBE02","EUPM_Mittel2_Cube",Datenstand,"Alle Beteiligungen","Alle Koordinatoren","Alle Unternehmensgrößen","-2","Alle Organisationstypen",14,"Alle Expertevaluierungsstatus",$B23,"-2",1000001,"-2","Alle","-2","foerderung")/1000000</f>
        <v>2006.5361276800002</v>
      </c>
      <c r="U23" s="326">
        <f ca="1">_xll.PALO.DATAC("jedoxtest/EU_PM_CUBE02","EUPM_Mittel2_Cube",Datenstand,"Alle Beteiligungen","Alle Koordinatoren","Alle Unternehmensgrößen","-2","Alle Organisationstypen",14,"Alle Expertevaluierungsstatus",$B23,"-2",1,"-2","Alle","-2","foerderung")/1000000</f>
        <v>28.308373449999998</v>
      </c>
      <c r="V23" s="224">
        <f ca="1">IFERROR(_xll.PALO.DATAC("jedoxtest/EU_PM_CUBE02","EUPM_Mittel2_Cube",Datenstand,"Alle Beteiligungen","Alle Koordinatoren","Alle Unternehmensgrößen","-2","Alle Organisationstypen",14,"Alle Expertevaluierungsstatus",$B23,"-2",1,"-2","Alle","-2","foerderung")/_xll.PALO.DATAC("jedoxtest/EU_PM_CUBE02","EUPM_Mittel2_Cube",Datenstand,"Alle Beteiligungen","Alle Koordinatoren","Alle Unternehmensgrößen","-2","Alle Organisationstypen",14,"Alle Expertevaluierungsstatus",$B23,"-2",-2,"-2","Alle","-2","foerderung"),"-  ")</f>
        <v>1.2659134917280131E-2</v>
      </c>
    </row>
    <row r="24" spans="1:23" ht="31.5" customHeight="1">
      <c r="B24" t="s">
        <v>156</v>
      </c>
      <c r="C24" s="473"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Organisationstypen",5,"Alle Expertevaluierungsstatus",$B24,"-2","-2","-2","Alle","-2","anzahl_beteiligungen")</f>
        <v>20075</v>
      </c>
      <c r="E24" s="226">
        <f ca="1">_xll.PALO.DATAC("jedoxtest/EU_PM_CUBE02","EUPM_Mittel2_Cube",Datenstand,"Alle Beteiligungen","Alle Koordinatoren","Alle Unternehmensgrößen","-2","Alle Organisationstypen",5,"Alle Expertevaluierungsstatus",$B24,"-2",1000001,"-2","Alle","-2","anzahl_beteiligungen")</f>
        <v>16186</v>
      </c>
      <c r="F24" s="230">
        <f ca="1">_xll.PALO.DATAC("jedoxtest/EU_PM_CUBE02","EUPM_Mittel2_Cube",Datenstand,"Alle Beteiligungen","Alle Koordinatoren","Alle Unternehmensgrößen","-2","Alle Organisationstypen",5,"Alle Expertevaluierungsstatus",$B24,"-2",1,"-2","Alle","-2","anzahl_beteiligungen")</f>
        <v>364</v>
      </c>
      <c r="G24" s="227">
        <f ca="1">IFERROR(_xll.PALO.DATAC("jedoxtest/EU_PM_CUBE02","EUPM_Mittel2_Cube",Datenstand,"Alle Beteiligungen","Alle Koordinatoren","Alle Unternehmensgrößen","-2","Alle Organisationstypen",5,"Alle Expertevaluierungsstatus",$B24,"-2",1,"-2","Alle","-2","anzahl_beteiligungen")/_xll.PALO.DATAC("jedoxtest/EU_PM_CUBE02","EUPM_Mittel2_Cube",Datenstand,"Alle Beteiligungen","Alle Koordinatoren","Alle Unternehmensgrößen","-2","Alle Organisationstypen",5,"Alle Expertevaluierungsstatus",$B24,"-2",-2,"-2","Alle","-2","anzahl_beteiligungen"),"-  ")</f>
        <v>1.813200498132005E-2</v>
      </c>
      <c r="H24" s="226">
        <f ca="1">_xll.PALO.DATAC("jedoxtest/EU_PM_CUBE02","EUPM_Mittel2_Cube",Datenstand,"Alle Beteiligungen","Alle Koordinatoren","Alle Unternehmensgrößen","-2","Alle Organisationstypen",14,"Alle Expertevaluierungsstatus",$B24,"-2","-2","-2","Alle","-2","anzahl_beteiligungen")</f>
        <v>3293</v>
      </c>
      <c r="I24" s="226">
        <f ca="1">_xll.PALO.DATAC("jedoxtest/EU_PM_CUBE02","EUPM_Mittel2_Cube",Datenstand,"Alle Beteiligungen","Alle Koordinatoren","Alle Unternehmensgrößen","-2","Alle Organisationstypen",14,"Alle Expertevaluierungsstatus",$B24,"-2",1000001,"-2","Alle","-2","anzahl_beteiligungen")</f>
        <v>2780</v>
      </c>
      <c r="J24" s="230">
        <f ca="1">_xll.PALO.DATAC("jedoxtest/EU_PM_CUBE02","EUPM_Mittel2_Cube",Datenstand,"Alle Beteiligungen","Alle Koordinatoren","Alle Unternehmensgrößen","-2","Alle Organisationstypen",14,"Alle Expertevaluierungsstatus",$B24,"-2",1,"-2","Alle","-2","anzahl_beteiligungen")</f>
        <v>61</v>
      </c>
      <c r="K24" s="227">
        <f ca="1">IFERROR(_xll.PALO.DATAC("jedoxtest/EU_PM_CUBE02","EUPM_Mittel2_Cube",Datenstand,"Alle Beteiligungen","Alle Koordinatoren","Alle Unternehmensgrößen","-2","Alle Organisationstypen",14,"Alle Expertevaluierungsstatus",$B24,"-2",1,"-2","Alle","-2","anzahl_beteiligungen")/_xll.PALO.DATAC("jedoxtest/EU_PM_CUBE02","EUPM_Mittel2_Cube",Datenstand,"Alle Beteiligungen","Alle Koordinatoren","Alle Unternehmensgrößen","-2","Alle Organisationstypen",14,"Alle Expertevaluierungsstatus",$B24,"-2",-2,"-2","Alle","-2","anzahl_beteiligungen"),"-  ")</f>
        <v>1.8524142119647737E-2</v>
      </c>
      <c r="L24" s="227">
        <f t="shared" ca="1" si="0"/>
        <v>0.16403486924034869</v>
      </c>
      <c r="M24" s="227">
        <f t="shared" ca="1" si="0"/>
        <v>0.17175336710737674</v>
      </c>
      <c r="N24" s="227">
        <f t="shared" ca="1" si="0"/>
        <v>0.16758241758241757</v>
      </c>
      <c r="O24" s="226">
        <f ca="1">_xll.PALO.DATAC("jedoxtest/EU_PM_CUBE02","EUPM_Mittel2_Cube",Datenstand,"Alle Beteiligungen","Alle Koordinatoren","Alle Unternehmensgrößen","-2","Alle Organisationstypen",14,"Alle Expertevaluierungsstatus",$B24,"-2","-2","-2","Alle","-2","anzahl_koordinatoren")</f>
        <v>1020</v>
      </c>
      <c r="P24" s="226">
        <f ca="1">_xll.PALO.DATAC("jedoxtest/EU_PM_CUBE02","EUPM_Mittel2_Cube",Datenstand,"Alle Beteiligungen","Alle Koordinatoren","Alle Unternehmensgrößen","-2","Alle Organisationstypen",14,"Alle Expertevaluierungsstatus",$B24,"-2",1000001,"-2","Alle","-2","anzahl_koordinatoren")</f>
        <v>884</v>
      </c>
      <c r="Q24" s="230">
        <f ca="1">_xll.PALO.DATAC("jedoxtest/EU_PM_CUBE02","EUPM_Mittel2_Cube",Datenstand,"Alle Beteiligungen","Alle Koordinatoren","Alle Unternehmensgrößen","-2","Alle Organisationstypen",14,"Alle Expertevaluierungsstatus",$B24,"-2",1,"-2","Alle","-2","anzahl_koordinatoren")</f>
        <v>15</v>
      </c>
      <c r="R24" s="227">
        <f ca="1">IFERROR(_xll.PALO.DATAC("jedoxtest/EU_PM_CUBE02","EUPM_Mittel2_Cube",Datenstand,"Alle Beteiligungen","Alle Koordinatoren","Alle Unternehmensgrößen","-2","Alle Organisationstypen",14,"Alle Expertevaluierungsstatus",$B24,"-2",1,"-2","Alle","-2","anzahl_koordinatoren")/_xll.PALO.DATAC("jedoxtest/EU_PM_CUBE02","EUPM_Mittel2_Cube",Datenstand,"Alle Beteiligungen","Alle Koordinatoren","Alle Unternehmensgrößen","-2","Alle Organisationstypen",14,"Alle Expertevaluierungsstatus",$B24,"-2",-2,"-2","Alle","-2","anzahl_koordinatoren"),"-  ")</f>
        <v>1.4705882352941176E-2</v>
      </c>
      <c r="S24" s="228">
        <f ca="1">_xll.PALO.DATAC("jedoxtest/EU_PM_CUBE02","EUPM_Mittel2_Cube",Datenstand,"Alle Beteiligungen","Alle Koordinatoren","Alle Unternehmensgrößen","-2","Alle Organisationstypen",14,"Alle Expertevaluierungsstatus",$B24,"-2","-2","-2","Alle","-2","foerderung")/1000000</f>
        <v>1945.0771112899999</v>
      </c>
      <c r="T24" s="228">
        <f ca="1">_xll.PALO.DATAC("jedoxtest/EU_PM_CUBE02","EUPM_Mittel2_Cube",Datenstand,"Alle Beteiligungen","Alle Koordinatoren","Alle Unternehmensgrößen","-2","Alle Organisationstypen",14,"Alle Expertevaluierungsstatus",$B24,"-2",1000001,"-2","Alle","-2","foerderung")/1000000</f>
        <v>1752.14375167</v>
      </c>
      <c r="U24" s="228">
        <f ca="1">_xll.PALO.DATAC("jedoxtest/EU_PM_CUBE02","EUPM_Mittel2_Cube",Datenstand,"Alle Beteiligungen","Alle Koordinatoren","Alle Unternehmensgrößen","-2","Alle Organisationstypen",14,"Alle Expertevaluierungsstatus",$B24,"-2",1,"-2","Alle","-2","foerderung")/1000000</f>
        <v>14.940920199999999</v>
      </c>
      <c r="V24" s="224">
        <f ca="1">IFERROR(_xll.PALO.DATAC("jedoxtest/EU_PM_CUBE02","EUPM_Mittel2_Cube",Datenstand,"Alle Beteiligungen","Alle Koordinatoren","Alle Unternehmensgrößen","-2","Alle Organisationstypen",14,"Alle Expertevaluierungsstatus",$B24,"-2",1,"-2","Alle","-2","foerderung")/_xll.PALO.DATAC("jedoxtest/EU_PM_CUBE02","EUPM_Mittel2_Cube",Datenstand,"Alle Beteiligungen","Alle Koordinatoren","Alle Unternehmensgrößen","-2","Alle Organisationstypen",14,"Alle Expertevaluierungsstatus",$B24,"-2",-2,"-2","Alle","-2","foerderung"),"-  ")</f>
        <v>7.6814025075288613E-3</v>
      </c>
    </row>
    <row r="25" spans="1:23" ht="31.5" customHeight="1">
      <c r="B25" t="s">
        <v>157</v>
      </c>
      <c r="C25" s="473"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Organisationstypen",5,"Alle Expertevaluierungsstatus",$B25,"-2","-2","-2","Alle","-2","anzahl_beteiligungen")</f>
        <v>5287</v>
      </c>
      <c r="E25" s="226">
        <f ca="1">_xll.PALO.DATAC("jedoxtest/EU_PM_CUBE02","EUPM_Mittel2_Cube",Datenstand,"Alle Beteiligungen","Alle Koordinatoren","Alle Unternehmensgrößen","-2","Alle Organisationstypen",5,"Alle Expertevaluierungsstatus",$B25,"-2",1000001,"-2","Alle","-2","anzahl_beteiligungen")</f>
        <v>4308</v>
      </c>
      <c r="F25" s="230">
        <f ca="1">_xll.PALO.DATAC("jedoxtest/EU_PM_CUBE02","EUPM_Mittel2_Cube",Datenstand,"Alle Beteiligungen","Alle Koordinatoren","Alle Unternehmensgrößen","-2","Alle Organisationstypen",5,"Alle Expertevaluierungsstatus",$B25,"-2",1,"-2","Alle","-2","anzahl_beteiligungen")</f>
        <v>156</v>
      </c>
      <c r="G25" s="227">
        <f ca="1">IFERROR(_xll.PALO.DATAC("jedoxtest/EU_PM_CUBE02","EUPM_Mittel2_Cube",Datenstand,"Alle Beteiligungen","Alle Koordinatoren","Alle Unternehmensgrößen","-2","Alle Organisationstypen",5,"Alle Expertevaluierungsstatus",$B25,"-2",1,"-2","Alle","-2","anzahl_beteiligungen")/_xll.PALO.DATAC("jedoxtest/EU_PM_CUBE02","EUPM_Mittel2_Cube",Datenstand,"Alle Beteiligungen","Alle Koordinatoren","Alle Unternehmensgrößen","-2","Alle Organisationstypen",5,"Alle Expertevaluierungsstatus",$B25,"-2",-2,"-2","Alle","-2","anzahl_beteiligungen"),"-  ")</f>
        <v>2.9506336296576507E-2</v>
      </c>
      <c r="H25" s="226">
        <f ca="1">_xll.PALO.DATAC("jedoxtest/EU_PM_CUBE02","EUPM_Mittel2_Cube",Datenstand,"Alle Beteiligungen","Alle Koordinatoren","Alle Unternehmensgrößen","-2","Alle Organisationstypen",14,"Alle Expertevaluierungsstatus",$B25,"-2","-2","-2","Alle","-2","anzahl_beteiligungen")</f>
        <v>1601</v>
      </c>
      <c r="I25" s="226">
        <f ca="1">_xll.PALO.DATAC("jedoxtest/EU_PM_CUBE02","EUPM_Mittel2_Cube",Datenstand,"Alle Beteiligungen","Alle Koordinatoren","Alle Unternehmensgrößen","-2","Alle Organisationstypen",14,"Alle Expertevaluierungsstatus",$B25,"-2",1000001,"-2","Alle","-2","anzahl_beteiligungen")</f>
        <v>1320</v>
      </c>
      <c r="J25" s="230">
        <f ca="1">_xll.PALO.DATAC("jedoxtest/EU_PM_CUBE02","EUPM_Mittel2_Cube",Datenstand,"Alle Beteiligungen","Alle Koordinatoren","Alle Unternehmensgrößen","-2","Alle Organisationstypen",14,"Alle Expertevaluierungsstatus",$B25,"-2",1,"-2","Alle","-2","anzahl_beteiligungen")</f>
        <v>49</v>
      </c>
      <c r="K25" s="227">
        <f ca="1">IFERROR(_xll.PALO.DATAC("jedoxtest/EU_PM_CUBE02","EUPM_Mittel2_Cube",Datenstand,"Alle Beteiligungen","Alle Koordinatoren","Alle Unternehmensgrößen","-2","Alle Organisationstypen",14,"Alle Expertevaluierungsstatus",$B25,"-2",1,"-2","Alle","-2","anzahl_beteiligungen")/_xll.PALO.DATAC("jedoxtest/EU_PM_CUBE02","EUPM_Mittel2_Cube",Datenstand,"Alle Beteiligungen","Alle Koordinatoren","Alle Unternehmensgrößen","-2","Alle Organisationstypen",14,"Alle Expertevaluierungsstatus",$B25,"-2",-2,"-2","Alle","-2","anzahl_beteiligungen"),"-  ")</f>
        <v>3.0605871330418487E-2</v>
      </c>
      <c r="L25" s="227">
        <f t="shared" ca="1" si="0"/>
        <v>0.30281823340268582</v>
      </c>
      <c r="M25" s="227">
        <f t="shared" ca="1" si="0"/>
        <v>0.30640668523676878</v>
      </c>
      <c r="N25" s="227">
        <f t="shared" ca="1" si="0"/>
        <v>0.3141025641025641</v>
      </c>
      <c r="O25" s="226">
        <f ca="1">_xll.PALO.DATAC("jedoxtest/EU_PM_CUBE02","EUPM_Mittel2_Cube",Datenstand,"Alle Beteiligungen","Alle Koordinatoren","Alle Unternehmensgrößen","-2","Alle Organisationstypen",14,"Alle Expertevaluierungsstatus",$B25,"-2","-2","-2","Alle","-2","anzahl_koordinatoren")</f>
        <v>143</v>
      </c>
      <c r="P25" s="226">
        <f ca="1">_xll.PALO.DATAC("jedoxtest/EU_PM_CUBE02","EUPM_Mittel2_Cube",Datenstand,"Alle Beteiligungen","Alle Koordinatoren","Alle Unternehmensgrößen","-2","Alle Organisationstypen",14,"Alle Expertevaluierungsstatus",$B25,"-2",1000001,"-2","Alle","-2","anzahl_koordinatoren")</f>
        <v>129</v>
      </c>
      <c r="Q25" s="230">
        <f ca="1">_xll.PALO.DATAC("jedoxtest/EU_PM_CUBE02","EUPM_Mittel2_Cube",Datenstand,"Alle Beteiligungen","Alle Koordinatoren","Alle Unternehmensgrößen","-2","Alle Organisationstypen",14,"Alle Expertevaluierungsstatus",$B25,"-2",1,"-2","Alle","-2","anzahl_koordinatoren")</f>
        <v>5</v>
      </c>
      <c r="R25" s="227">
        <f ca="1">IFERROR(_xll.PALO.DATAC("jedoxtest/EU_PM_CUBE02","EUPM_Mittel2_Cube",Datenstand,"Alle Beteiligungen","Alle Koordinatoren","Alle Unternehmensgrößen","-2","Alle Organisationstypen",14,"Alle Expertevaluierungsstatus",$B25,"-2",1,"-2","Alle","-2","anzahl_koordinatoren")/_xll.PALO.DATAC("jedoxtest/EU_PM_CUBE02","EUPM_Mittel2_Cube",Datenstand,"Alle Beteiligungen","Alle Koordinatoren","Alle Unternehmensgrößen","-2","Alle Organisationstypen",14,"Alle Expertevaluierungsstatus",$B25,"-2",-2,"-2","Alle","-2","anzahl_koordinatoren"),"-  ")</f>
        <v>3.4965034965034968E-2</v>
      </c>
      <c r="S25" s="228">
        <f ca="1">_xll.PALO.DATAC("jedoxtest/EU_PM_CUBE02","EUPM_Mittel2_Cube",Datenstand,"Alle Beteiligungen","Alle Koordinatoren","Alle Unternehmensgrößen","-2","Alle Organisationstypen",14,"Alle Expertevaluierungsstatus",$B25,"-2","-2","-2","Alle","-2","foerderung")/1000000</f>
        <v>291.12414851</v>
      </c>
      <c r="T25" s="228">
        <f ca="1">_xll.PALO.DATAC("jedoxtest/EU_PM_CUBE02","EUPM_Mittel2_Cube",Datenstand,"Alle Beteiligungen","Alle Koordinatoren","Alle Unternehmensgrößen","-2","Alle Organisationstypen",14,"Alle Expertevaluierungsstatus",$B25,"-2",1000001,"-2","Alle","-2","foerderung")/1000000</f>
        <v>254.39237600999999</v>
      </c>
      <c r="U25" s="228">
        <f ca="1">_xll.PALO.DATAC("jedoxtest/EU_PM_CUBE02","EUPM_Mittel2_Cube",Datenstand,"Alle Beteiligungen","Alle Koordinatoren","Alle Unternehmensgrößen","-2","Alle Organisationstypen",14,"Alle Expertevaluierungsstatus",$B25,"-2",1,"-2","Alle","-2","foerderung")/1000000</f>
        <v>13.367453250000001</v>
      </c>
      <c r="V25" s="224">
        <f ca="1">IFERROR(_xll.PALO.DATAC("jedoxtest/EU_PM_CUBE02","EUPM_Mittel2_Cube",Datenstand,"Alle Beteiligungen","Alle Koordinatoren","Alle Unternehmensgrößen","-2","Alle Organisationstypen",14,"Alle Expertevaluierungsstatus",$B25,"-2",1,"-2","Alle","-2","foerderung")/_xll.PALO.DATAC("jedoxtest/EU_PM_CUBE02","EUPM_Mittel2_Cube",Datenstand,"Alle Beteiligungen","Alle Koordinatoren","Alle Unternehmensgrößen","-2","Alle Organisationstypen",14,"Alle Expertevaluierungsstatus",$B25,"-2",-2,"-2","Alle","-2","foerderung"),"-  ")</f>
        <v>4.5916676161753836E-2</v>
      </c>
    </row>
    <row r="26" spans="1:23" ht="15" hidden="1" customHeight="1">
      <c r="B26" t="s">
        <v>158</v>
      </c>
      <c r="C26" s="369" t="str">
        <f ca="1">_xll.PALO.DATA("jedoxtest/EU_PM_CUBE02","#_Programme","Langbezeichnung",$B26)</f>
        <v>Euratom</v>
      </c>
      <c r="D26" s="363">
        <f ca="1">_xll.PALO.DATAC("jedoxtest/EU_PM_CUBE02","EUPM_Mittel2_Cube",Datenstand,"Alle Beteiligungen","Alle Koordinatoren","Alle Unternehmensgrößen","-2","Alle Organisationstypen",5,"Alle Expertevaluierungsstatus",$B26,"-2","-2","-2","Alle","-2","anzahl_beteiligungen")</f>
        <v>0</v>
      </c>
      <c r="E26" s="363">
        <f ca="1">_xll.PALO.DATAC("jedoxtest/EU_PM_CUBE02","EUPM_Mittel2_Cube",Datenstand,"Alle Beteiligungen","Alle Koordinatoren","Alle Unternehmensgrößen","-2","Alle Organisationstypen",5,"Alle Expertevaluierungsstatus",$B26,"-2",1000001,"-2","Alle","-2","anzahl_beteiligungen")</f>
        <v>0</v>
      </c>
      <c r="F26" s="364">
        <f ca="1">_xll.PALO.DATAC("jedoxtest/EU_PM_CUBE02","EUPM_Mittel2_Cube",Datenstand,"Alle Beteiligungen","Alle Koordinatoren","Alle Unternehmensgrößen","-2","Alle Organisationstypen",5,"Alle Expertevaluierungsstatus",$B26,"-2",1,"-2","Alle","-2","anzahl_beteiligungen")</f>
        <v>0</v>
      </c>
      <c r="G26" s="365" t="str">
        <f ca="1">IFERROR(_xll.PALO.DATAC("jedoxtest/EU_PM_CUBE02","EUPM_Mittel2_Cube",Datenstand,"Alle Beteiligungen","Alle Koordinatoren","Alle Unternehmensgrößen","-2","Alle Organisationstypen",5,"Alle Expertevaluierungsstatus",$B26,"-2",1,"-2","Alle","-2","anzahl_beteiligungen")/_xll.PALO.DATAC("jedoxtest/EU_PM_CUBE02","EUPM_Mittel2_Cube",Datenstand,"Alle Beteiligungen","Alle Koordinatoren","Alle Unternehmensgrößen","-2","Alle Organisationstypen",5,"Alle Expertevaluierungsstatus",$B26,"-2",-2,"-2","Alle","-2","anzahl_beteiligungen"),"-  ")</f>
        <v xml:space="preserve">-  </v>
      </c>
      <c r="H26" s="363">
        <f ca="1">_xll.PALO.DATAC("jedoxtest/EU_PM_CUBE02","EUPM_Mittel2_Cube",Datenstand,"Alle Beteiligungen","Alle Koordinatoren","Alle Unternehmensgrößen","-2","Alle Organisationstypen",14,"Alle Expertevaluierungsstatus",$B26,"-2","-2","-2","Alle","-2","anzahl_beteiligungen")</f>
        <v>0</v>
      </c>
      <c r="I26" s="363">
        <f ca="1">_xll.PALO.DATAC("jedoxtest/EU_PM_CUBE02","EUPM_Mittel2_Cube",Datenstand,"Alle Beteiligungen","Alle Koordinatoren","Alle Unternehmensgrößen","-2","Alle Organisationstypen",14,"Alle Expertevaluierungsstatus",$B26,"-2",1000001,"-2","Alle","-2","anzahl_beteiligungen")</f>
        <v>0</v>
      </c>
      <c r="J26" s="364">
        <f ca="1">_xll.PALO.DATAC("jedoxtest/EU_PM_CUBE02","EUPM_Mittel2_Cube",Datenstand,"Alle Beteiligungen","Alle Koordinatoren","Alle Unternehmensgrößen","-2","Alle Organisationstypen",14,"Alle Expertevaluierungsstatus",$B26,"-2",1,"-2","Alle","-2","anzahl_beteiligungen")</f>
        <v>0</v>
      </c>
      <c r="K26" s="365" t="str">
        <f ca="1">IFERROR(_xll.PALO.DATAC("jedoxtest/EU_PM_CUBE02","EUPM_Mittel2_Cube",Datenstand,"Alle Beteiligungen","Alle Koordinatoren","Alle Unternehmensgrößen","-2","Alle Organisationstypen",14,"Alle Expertevaluierungsstatus",$B26,"-2",1,"-2","Alle","-2","anzahl_beteiligungen")/_xll.PALO.DATAC("jedoxtest/EU_PM_CUBE02","EUPM_Mittel2_Cube",Datenstand,"Alle Beteiligungen","Alle Koordinatoren","Alle Unternehmensgrößen","-2","Alle Organisationstypen",14,"Alle Expertevaluierungsstatus",$B26,"-2",-2,"-2","Alle","-2","anzahl_beteiligungen"),"-  ")</f>
        <v xml:space="preserve">-  </v>
      </c>
      <c r="L26" s="365" t="str">
        <f t="shared" ca="1" si="0"/>
        <v xml:space="preserve">-   </v>
      </c>
      <c r="M26" s="365" t="str">
        <f t="shared" ca="1" si="0"/>
        <v xml:space="preserve">-   </v>
      </c>
      <c r="N26" s="365" t="str">
        <f t="shared" ca="1" si="0"/>
        <v xml:space="preserve">-   </v>
      </c>
      <c r="O26" s="363">
        <f ca="1">_xll.PALO.DATAC("jedoxtest/EU_PM_CUBE02","EUPM_Mittel2_Cube",Datenstand,"Alle Beteiligungen","Alle Koordinatoren","Alle Unternehmensgrößen","-2","Alle Organisationstypen",14,"Alle Expertevaluierungsstatus",$B26,"-2","-2","-2","Alle","-2","anzahl_koordinatoren")</f>
        <v>0</v>
      </c>
      <c r="P26" s="363">
        <f ca="1">_xll.PALO.DATAC("jedoxtest/EU_PM_CUBE02","EUPM_Mittel2_Cube",Datenstand,"Alle Beteiligungen","Alle Koordinatoren","Alle Unternehmensgrößen","-2","Alle Organisationstypen",14,"Alle Expertevaluierungsstatus",$B26,"-2",1000001,"-2","Alle","-2","anzahl_koordinatoren")</f>
        <v>0</v>
      </c>
      <c r="Q26" s="364">
        <f ca="1">_xll.PALO.DATAC("jedoxtest/EU_PM_CUBE02","EUPM_Mittel2_Cube",Datenstand,"Alle Beteiligungen","Alle Koordinatoren","Alle Unternehmensgrößen","-2","Alle Organisationstypen",14,"Alle Expertevaluierungsstatus",$B26,"-2",1,"-2","Alle","-2","anzahl_koordinatoren")</f>
        <v>0</v>
      </c>
      <c r="R26" s="365" t="str">
        <f ca="1">IFERROR(_xll.PALO.DATAC("jedoxtest/EU_PM_CUBE02","EUPM_Mittel2_Cube",Datenstand,"Alle Beteiligungen","Alle Koordinatoren","Alle Unternehmensgrößen","-2","Alle Organisationstypen",14,"Alle Expertevaluierungsstatus",$B26,"-2",1,"-2","Alle","-2","anzahl_koordinatoren")/_xll.PALO.DATAC("jedoxtest/EU_PM_CUBE02","EUPM_Mittel2_Cube",Datenstand,"Alle Beteiligungen","Alle Koordinatoren","Alle Unternehmensgrößen","-2","Alle Organisationstypen",14,"Alle Expertevaluierungsstatus",$B26,"-2",-2,"-2","Alle","-2","anzahl_koordinatoren"),"-  ")</f>
        <v xml:space="preserve">-  </v>
      </c>
      <c r="S26" s="367">
        <f ca="1">_xll.PALO.DATAC("jedoxtest/EU_PM_CUBE02","EUPM_Mittel2_Cube",Datenstand,"Alle Beteiligungen","Alle Koordinatoren","Alle Unternehmensgrößen","-2","Alle Organisationstypen",14,"Alle Expertevaluierungsstatus",$B26,"-2","-2","-2","Alle","-2","foerderung")/1000000</f>
        <v>0</v>
      </c>
      <c r="T26" s="367">
        <f ca="1">_xll.PALO.DATAC("jedoxtest/EU_PM_CUBE02","EUPM_Mittel2_Cube",Datenstand,"Alle Beteiligungen","Alle Koordinatoren","Alle Unternehmensgrößen","-2","Alle Organisationstypen",14,"Alle Expertevaluierungsstatus",$B26,"-2",1000001,"-2","Alle","-2","foerderung")/1000000</f>
        <v>0</v>
      </c>
      <c r="U26" s="367">
        <f ca="1">_xll.PALO.DATAC("jedoxtest/EU_PM_CUBE02","EUPM_Mittel2_Cube",Datenstand,"Alle Beteiligungen","Alle Koordinatoren","Alle Unternehmensgrößen","-2","Alle Organisationstypen",14,"Alle Expertevaluierungsstatus",$B26,"-2",1,"-2","Alle","-2","foerderung")/1000000</f>
        <v>0</v>
      </c>
      <c r="V26" s="224" t="str">
        <f ca="1">IFERROR(_xll.PALO.DATAC("jedoxtest/EU_PM_CUBE02","EUPM_Mittel2_Cube",Datenstand,"Alle Beteiligungen","Alle Koordinatoren","Alle Unternehmensgrößen","-2","Alle Organisationstypen",14,"Alle Expertevaluierungsstatus",$B26,"-2",1,"-2","Alle","-2","foerderung")/_xll.PALO.DATAC("jedoxtest/EU_PM_CUBE02","EUPM_Mittel2_Cube",Datenstand,"Alle Beteiligungen","Alle Koordinatoren","Alle Unternehmensgrößen","-2","Alle Organisationstypen",14,"Alle Expertevaluierungsstatus",$B26,"-2",-2,"-2","Alle","-2","foerderung"),"-  ")</f>
        <v xml:space="preserve">-  </v>
      </c>
    </row>
    <row r="27" spans="1:23" ht="15" customHeight="1">
      <c r="B27" s="223"/>
    </row>
    <row r="28" spans="1:23" ht="15" customHeight="1">
      <c r="C28" s="759" t="str">
        <f ca="1">"Quelle: EC "&amp;_xll.PALO.DATA("jedoxtest/EU_PM_CUBE02","#_Datenstand","reference_month",Datenstand)&amp;"/"&amp;_xll.PALO.DATA("jedoxtest/EU_PM_CUBE02","#_Datenstand","reference_year",Datenstand)&amp;"; Darstellung FFG"</f>
        <v>Quelle: EC 5/2026; Darstellung FFG</v>
      </c>
      <c r="D28" s="759"/>
      <c r="E28" s="759"/>
      <c r="F28" s="759"/>
      <c r="G28" s="759"/>
      <c r="H28" s="759"/>
      <c r="I28" s="759"/>
      <c r="J28" s="759"/>
      <c r="K28" s="759"/>
      <c r="L28" s="759"/>
      <c r="M28" s="759"/>
      <c r="N28" s="759"/>
      <c r="O28" s="759"/>
      <c r="P28" s="759"/>
      <c r="Q28" s="759"/>
      <c r="R28" s="759"/>
      <c r="S28" s="759"/>
      <c r="T28" s="759"/>
      <c r="U28" s="759"/>
      <c r="V28" s="759"/>
      <c r="W28" s="759"/>
    </row>
    <row r="29" spans="1:23" ht="15" customHeight="1">
      <c r="S29" s="313"/>
      <c r="T29" s="313"/>
      <c r="U29" s="313"/>
      <c r="V29" s="313"/>
    </row>
    <row r="30" spans="1:23" ht="15" customHeight="1"/>
    <row r="32" spans="1:23" ht="15" hidden="1" customHeight="1">
      <c r="A32" s="352" t="b">
        <f ca="1">_xll.PALO.HIDEROW(ISBLANK($A$1))</f>
        <v>1</v>
      </c>
      <c r="B32" s="352" t="s">
        <v>191</v>
      </c>
      <c r="C32" s="352" t="str">
        <f ca="1">_xll.PALO.ENAME("jedoxtest/EU_PM_CUBE02","Datenstand",3)</f>
        <v>117</v>
      </c>
    </row>
  </sheetData>
  <mergeCells count="7">
    <mergeCell ref="C28:W28"/>
    <mergeCell ref="C2:W2"/>
    <mergeCell ref="D4:F4"/>
    <mergeCell ref="H4:J4"/>
    <mergeCell ref="L4:N4"/>
    <mergeCell ref="O4:Q4"/>
    <mergeCell ref="S4:U4"/>
  </mergeCells>
  <pageMargins left="0.70866141732283472" right="0.70866141732283472" top="0.74803149606299213" bottom="0.74803149606299213" header="0.31496062992125984" footer="0.31496062992125984"/>
  <pageSetup paperSize="9" scale="82"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27">
    <tabColor rgb="FF92D050"/>
    <pageSetUpPr fitToPage="1"/>
  </sheetPr>
  <dimension ref="A1:W32"/>
  <sheetViews>
    <sheetView zoomScaleNormal="100" workbookViewId="0">
      <selection activeCell="H12" sqref="H12"/>
    </sheetView>
  </sheetViews>
  <sheetFormatPr baseColWidth="10" defaultColWidth="11.42578125" defaultRowHeight="15"/>
  <cols>
    <col min="1" max="1" width="4.28515625" style="352" customWidth="1"/>
    <col min="2" max="2" width="50.42578125" style="352" hidden="1" customWidth="1"/>
    <col min="3" max="3" width="40.42578125" style="352" customWidth="1"/>
    <col min="4" max="6" width="12.28515625" style="352" hidden="1" customWidth="1"/>
    <col min="7" max="7" width="15.7109375" style="352" hidden="1" customWidth="1"/>
    <col min="8" max="8" width="12.28515625" style="352" customWidth="1"/>
    <col min="9" max="9" width="12.28515625" style="352" hidden="1" customWidth="1"/>
    <col min="10" max="10" width="12.28515625" style="352" customWidth="1"/>
    <col min="11" max="11" width="15.7109375" style="352" customWidth="1"/>
    <col min="12" max="14" width="12.28515625" style="352" hidden="1" customWidth="1"/>
    <col min="15" max="15" width="12.28515625" style="352" customWidth="1"/>
    <col min="16" max="16" width="12.28515625" style="352" hidden="1" customWidth="1"/>
    <col min="17" max="17" width="12.28515625" style="352" customWidth="1"/>
    <col min="18" max="18" width="15.7109375" style="352" customWidth="1"/>
    <col min="19" max="19" width="12.28515625" style="352" customWidth="1"/>
    <col min="20" max="20" width="12.28515625" style="352" hidden="1" customWidth="1"/>
    <col min="21" max="21" width="12.28515625" style="352" customWidth="1"/>
    <col min="22" max="22" width="15.7109375" style="352" customWidth="1"/>
    <col min="23" max="23" width="3.28515625" style="352" customWidth="1"/>
    <col min="24" max="16384" width="11.42578125" style="352"/>
  </cols>
  <sheetData>
    <row r="1" spans="2:23" ht="15" customHeight="1">
      <c r="B1" s="352" t="b">
        <f ca="1">_xll.PALO.HIDECOLUMN(ISBLANK($A$1))</f>
        <v>1</v>
      </c>
    </row>
    <row r="2" spans="2:23" ht="25.5" customHeight="1">
      <c r="C2" s="758" t="str">
        <f ca="1">_xll.PALO.DATA("jedoxtest/EU_PM_CUBE02","#_Datenstand","frameworkprog_long",Datenstand)&amp;": Anteile für Österreich nach Programmen"</f>
        <v>Horizon Europe: Anteile für Österreich nach Programmen</v>
      </c>
      <c r="D2" s="758"/>
      <c r="E2" s="758"/>
      <c r="F2" s="758"/>
      <c r="G2" s="758"/>
      <c r="H2" s="758"/>
      <c r="I2" s="758"/>
      <c r="J2" s="758"/>
      <c r="K2" s="758"/>
      <c r="L2" s="758"/>
      <c r="M2" s="758"/>
      <c r="N2" s="758"/>
      <c r="O2" s="758"/>
      <c r="P2" s="758"/>
      <c r="Q2" s="758"/>
      <c r="R2" s="758"/>
      <c r="S2" s="758"/>
      <c r="T2" s="758"/>
      <c r="U2" s="758"/>
      <c r="V2" s="758"/>
      <c r="W2" s="758"/>
    </row>
    <row r="3" spans="2:23" ht="10.5" customHeight="1">
      <c r="D3" s="222"/>
      <c r="E3" s="222"/>
      <c r="F3" s="222"/>
      <c r="G3" s="222"/>
      <c r="H3" s="222"/>
      <c r="I3" s="222"/>
      <c r="J3" s="222"/>
      <c r="K3" s="222"/>
      <c r="L3" s="222"/>
      <c r="M3" s="222"/>
      <c r="N3" s="222"/>
      <c r="O3" s="222"/>
      <c r="P3" s="222"/>
      <c r="Q3" s="222"/>
      <c r="R3" s="222"/>
      <c r="S3" s="222"/>
      <c r="T3" s="222"/>
      <c r="U3" s="222"/>
      <c r="V3" s="222"/>
    </row>
    <row r="4" spans="2:23" ht="16.5" customHeight="1">
      <c r="D4" s="741" t="s">
        <v>38</v>
      </c>
      <c r="E4" s="741"/>
      <c r="F4" s="741"/>
      <c r="G4" s="742"/>
      <c r="H4" s="760" t="s">
        <v>1</v>
      </c>
      <c r="I4" s="741"/>
      <c r="J4" s="741"/>
      <c r="K4" s="742"/>
      <c r="L4" s="741" t="str">
        <f>UPPER("Erfolgsquote der Beteiligung")</f>
        <v>ERFOLGSQUOTE DER BETEILIGUNG</v>
      </c>
      <c r="M4" s="741"/>
      <c r="N4" s="741"/>
      <c r="O4" s="741" t="s">
        <v>3</v>
      </c>
      <c r="P4" s="741"/>
      <c r="Q4" s="741"/>
      <c r="R4" s="742"/>
      <c r="S4" s="741" t="s">
        <v>281</v>
      </c>
      <c r="T4" s="741"/>
      <c r="U4" s="741"/>
      <c r="V4" s="741"/>
    </row>
    <row r="5" spans="2:23" ht="29.25" customHeight="1">
      <c r="C5" s="360"/>
      <c r="D5" s="184" t="str">
        <f>UPPER("Alle Staaten")</f>
        <v>ALLE STAATEN</v>
      </c>
      <c r="E5" s="184" t="s">
        <v>167</v>
      </c>
      <c r="F5" s="184" t="s">
        <v>21</v>
      </c>
      <c r="G5" s="278" t="s">
        <v>39</v>
      </c>
      <c r="H5" s="358" t="str">
        <f>UPPER("Alle Staaten")</f>
        <v>ALLE STAATEN</v>
      </c>
      <c r="I5" s="184" t="s">
        <v>167</v>
      </c>
      <c r="J5" s="184" t="s">
        <v>21</v>
      </c>
      <c r="K5" s="278" t="s">
        <v>39</v>
      </c>
      <c r="L5" s="184" t="str">
        <f>UPPER("Alle Staaten")</f>
        <v>ALLE STAATEN</v>
      </c>
      <c r="M5" s="184" t="s">
        <v>167</v>
      </c>
      <c r="N5" s="184" t="s">
        <v>21</v>
      </c>
      <c r="O5" s="184" t="str">
        <f>UPPER("Alle Staaten")</f>
        <v>ALLE STAATEN</v>
      </c>
      <c r="P5" s="184" t="s">
        <v>167</v>
      </c>
      <c r="Q5" s="184" t="s">
        <v>21</v>
      </c>
      <c r="R5" s="278" t="s">
        <v>39</v>
      </c>
      <c r="S5" s="184" t="str">
        <f>UPPER("Alle Staaten")</f>
        <v>ALLE STAATEN</v>
      </c>
      <c r="T5" s="184" t="s">
        <v>167</v>
      </c>
      <c r="U5" s="184" t="s">
        <v>21</v>
      </c>
      <c r="V5" s="184" t="s">
        <v>39</v>
      </c>
    </row>
    <row r="6" spans="2:2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Organisationstypen",5,"Alle Expertevaluierungsstatus",$B6,"-2","-2","-2","Alle","-2","anzahl_beteiligungen")</f>
        <v>753198</v>
      </c>
      <c r="E6" s="187">
        <f ca="1">_xll.PALO.DATAC("jedoxtest/EU_PM_CUBE02","EUPM_Mittel2_Cube",Datenstand,"Alle Beteiligungen","Alle Koordinatoren","Alle Unternehmensgrößen","-2","Alle Organisationstypen",5,"Alle Expertevaluierungsstatus",$B6,"-2",1000001,"-2","Alle","-2","anzahl_beteiligungen")</f>
        <v>604256</v>
      </c>
      <c r="F6" s="187">
        <f ca="1">_xll.PALO.DATAC("jedoxtest/EU_PM_CUBE02","EUPM_Mittel2_Cube",Datenstand,"Alle Beteiligungen","Alle Koordinatoren","Alle Unternehmensgrößen","-2","Alle Organisationstypen",5,"Alle Expertevaluierungsstatus",$B6,"-2",1,"-2","Alle","-2","anzahl_beteiligungen")</f>
        <v>20643</v>
      </c>
      <c r="G6" s="231">
        <f ca="1">IFERROR(_xll.PALO.DATAC("jedoxtest/EU_PM_CUBE02","EUPM_Mittel2_Cube",Datenstand,"Alle Beteiligungen","Alle Koordinatoren","Alle Unternehmensgrößen","-2","Alle Organisationstypen",5,"Alle Expertevaluierungsstatus",$B6,"-2",1,"-2","Alle","-2","anzahl_beteiligungen")/_xll.PALO.DATAC("jedoxtest/EU_PM_CUBE02","EUPM_Mittel2_Cube",Datenstand,"Alle Beteiligungen","Alle Koordinatoren","Alle Unternehmensgrößen","-2","Alle Organisationstypen",5,"Alle Expertevaluierungsstatus",$B6,"-2",-2,"-2","Alle","-2","anzahl_beteiligungen"),"-  ")</f>
        <v>2.7407135972214478E-2</v>
      </c>
      <c r="H6" s="233">
        <f ca="1">_xll.PALO.DATAC("jedoxtest/EU_PM_CUBE02","EUPM_Mittel2_Cube",Datenstand,"Alle Beteiligungen","Alle Koordinatoren","Alle Unternehmensgrößen","-2","Alle Organisationstypen",28,"Alle Expertevaluierungsstatus",$B6,"-2","-2","-2","Alle","-2","anzahl_beteiligungen")</f>
        <v>137401</v>
      </c>
      <c r="I6" s="187">
        <f ca="1">_xll.PALO.DATAC("jedoxtest/EU_PM_CUBE02","EUPM_Mittel2_Cube",Datenstand,"Alle Beteiligungen","Alle Koordinatoren","Alle Unternehmensgrößen","-2","Alle Organisationstypen",28,"Alle Expertevaluierungsstatus",$B6,"-2",1000001,"-2","Alle","-2","anzahl_beteiligungen")</f>
        <v>113028</v>
      </c>
      <c r="J6" s="187">
        <f ca="1">_xll.PALO.DATAC("jedoxtest/EU_PM_CUBE02","EUPM_Mittel2_Cube",Datenstand,"Alle Beteiligungen","Alle Koordinatoren","Alle Unternehmensgrößen","-2","Alle Organisationstypen",28,"Alle Expertevaluierungsstatus",$B6,"-2",1,"-2","Alle","-2","anzahl_beteiligungen")</f>
        <v>3919</v>
      </c>
      <c r="K6" s="231">
        <f ca="1">IFERROR(_xll.PALO.DATAC("jedoxtest/EU_PM_CUBE02","EUPM_Mittel2_Cube",Datenstand,"Alle Beteiligungen","Alle Koordinatoren","Alle Unternehmensgrößen","-2","Alle Organisationstypen",28,"Alle Expertevaluierungsstatus",$B6,"-2",1,"-2","Alle","-2","anzahl_beteiligungen")/_xll.PALO.DATAC("jedoxtest/EU_PM_CUBE02","EUPM_Mittel2_Cube",Datenstand,"Alle Beteiligungen","Alle Koordinatoren","Alle Unternehmensgrößen","-2","Alle Organisationstypen",28,"Alle Expertevaluierungsstatus",$B6,"-2",-2,"-2","Alle","-2","anzahl_beteiligungen"),"-  ")</f>
        <v>2.8522354276897546E-2</v>
      </c>
      <c r="L6" s="188">
        <f ca="1">IFERROR(H6/D6,"-   ")</f>
        <v>0.18242347961624963</v>
      </c>
      <c r="M6" s="188">
        <f ca="1">IFERROR(I6/E6,"-   ")</f>
        <v>0.18705316951755546</v>
      </c>
      <c r="N6" s="188">
        <f ca="1">IFERROR(J6/F6,"-   ")</f>
        <v>0.18984643704887855</v>
      </c>
      <c r="O6" s="187">
        <f ca="1">_xll.PALO.DATAC("jedoxtest/EU_PM_CUBE02","EUPM_Mittel2_Cube",Datenstand,"Alle Beteiligungen","Alle Koordinatoren","Alle Unternehmensgrößen","-2","Alle Organisationstypen",28,"Alle Expertevaluierungsstatus",$B6,"-2","-2","-2","Alle","-2","anzahl_koordinatoren")</f>
        <v>23372</v>
      </c>
      <c r="P6" s="187">
        <f ca="1">_xll.PALO.DATAC("jedoxtest/EU_PM_CUBE02","EUPM_Mittel2_Cube",Datenstand,"Alle Beteiligungen","Alle Koordinatoren","Alle Unternehmensgrößen","-2","Alle Organisationstypen",28,"Alle Expertevaluierungsstatus",$B6,"-2",1000001,"-2","Alle","-2","anzahl_koordinatoren")</f>
        <v>20138</v>
      </c>
      <c r="Q6" s="187">
        <f ca="1">_xll.PALO.DATAC("jedoxtest/EU_PM_CUBE02","EUPM_Mittel2_Cube",Datenstand,"Alle Beteiligungen","Alle Koordinatoren","Alle Unternehmensgrößen","-2","Alle Organisationstypen",28,"Alle Expertevaluierungsstatus",$B6,"-2",1,"-2","Alle","-2","anzahl_koordinatoren")</f>
        <v>774</v>
      </c>
      <c r="R6" s="231">
        <f ca="1">IFERROR(_xll.PALO.DATAC("jedoxtest/EU_PM_CUBE02","EUPM_Mittel2_Cube",Datenstand,"Alle Beteiligungen","Alle Koordinatoren","Alle Unternehmensgrößen","-2","Alle Organisationstypen",28,"Alle Expertevaluierungsstatus",$B6,"-2",1,"-2","Alle","-2","anzahl_koordinatoren")/_xll.PALO.DATAC("jedoxtest/EU_PM_CUBE02","EUPM_Mittel2_Cube",Datenstand,"Alle Beteiligungen","Alle Koordinatoren","Alle Unternehmensgrößen","-2","Alle Organisationstypen",28,"Alle Expertevaluierungsstatus",$B6,"-2",-2,"-2","Alle","-2","anzahl_koordinatoren"),"-  ")</f>
        <v>3.3116549717610813E-2</v>
      </c>
      <c r="S6" s="225">
        <f ca="1">_xll.PALO.DATAC("jedoxtest/EU_PM_CUBE02","EUPM_Mittel2_Cube",Datenstand,"Alle Beteiligungen","Alle Koordinatoren","Alle Unternehmensgrößen","-2","Alle Organisationstypen",28,"Alle Expertevaluierungsstatus",$B6,"-2","-2","-2","Alle","-2","foerderung")/1000000</f>
        <v>58295.985379557402</v>
      </c>
      <c r="T6" s="225">
        <f ca="1">_xll.PALO.DATAC("jedoxtest/EU_PM_CUBE02","EUPM_Mittel2_Cube",Datenstand,"Alle Beteiligungen","Alle Koordinatoren","Alle Unternehmensgrößen","-2","Alle Organisationstypen",28,"Alle Expertevaluierungsstatus",$B6,"-2",1000001,"-2","Alle","-2","foerderung")/1000000</f>
        <v>51597.038472098</v>
      </c>
      <c r="U6" s="225">
        <f ca="1">_xll.PALO.DATAC("jedoxtest/EU_PM_CUBE02","EUPM_Mittel2_Cube",Datenstand,"Alle Beteiligungen","Alle Koordinatoren","Alle Unternehmensgrößen","-2","Alle Organisationstypen",28,"Alle Expertevaluierungsstatus",$B6,"-2",1,"-2","Alle","-2","foerderung")/1000000</f>
        <v>1856.2015674500101</v>
      </c>
      <c r="V6" s="188">
        <f ca="1">IFERROR(_xll.PALO.DATAC("jedoxtest/EU_PM_CUBE02","EUPM_Mittel2_Cube",Datenstand,"Alle Beteiligungen","Alle Koordinatoren","Alle Unternehmensgrößen","-2","Alle Organisationstypen",28,"Alle Expertevaluierungsstatus",$B6,"-2",1,"-2","Alle","-2","foerderung")/_xll.PALO.DATAC("jedoxtest/EU_PM_CUBE02","EUPM_Mittel2_Cube",Datenstand,"Alle Beteiligungen","Alle Koordinatoren","Alle Unternehmensgrößen","-2","Alle Organisationstypen",28,"Alle Expertevaluierungsstatus",$B6,"-2",-2,"-2","Alle","-2","foerderung"),"-  ")</f>
        <v>3.1840984509731309E-2</v>
      </c>
    </row>
    <row r="7" spans="2:23" ht="15" hidden="1" customHeight="1">
      <c r="B7" t="s">
        <v>139</v>
      </c>
      <c r="C7" s="361" t="str">
        <f ca="1">_xll.PALO.DATA("jedoxtest/EU_PM_CUBE02","#_Programme","Langbezeichnung",$B7)</f>
        <v>EC Treaty</v>
      </c>
      <c r="D7" s="206">
        <f ca="1">_xll.PALO.DATAC("jedoxtest/EU_PM_CUBE02","EUPM_Mittel2_Cube",Datenstand,"Alle Beteiligungen","Alle Koordinatoren","Alle Unternehmensgrößen","-2","Alle Organisationstypen",5,"Alle Expertevaluierungsstatus",$B7,"-2","-2","-2","Alle","-2","anzahl_beteiligungen")</f>
        <v>753198</v>
      </c>
      <c r="E7" s="206">
        <f ca="1">_xll.PALO.DATAC("jedoxtest/EU_PM_CUBE02","EUPM_Mittel2_Cube",Datenstand,"Alle Beteiligungen","Alle Koordinatoren","Alle Unternehmensgrößen","-2","Alle Organisationstypen",5,"Alle Expertevaluierungsstatus",$B7,"-2",1000001,"-2","Alle","-2","anzahl_beteiligungen")</f>
        <v>604256</v>
      </c>
      <c r="F7" s="206">
        <f ca="1">_xll.PALO.DATAC("jedoxtest/EU_PM_CUBE02","EUPM_Mittel2_Cube",Datenstand,"Alle Beteiligungen","Alle Koordinatoren","Alle Unternehmensgrößen","-2","Alle Organisationstypen",5,"Alle Expertevaluierungsstatus",$B7,"-2",1,"-2","Alle","-2","anzahl_beteiligungen")</f>
        <v>20643</v>
      </c>
      <c r="G7" s="323">
        <f ca="1">IFERROR(_xll.PALO.DATAC("jedoxtest/EU_PM_CUBE02","EUPM_Mittel2_Cube",Datenstand,"Alle Beteiligungen","Alle Koordinatoren","Alle Unternehmensgrößen","-2","Alle Organisationstypen",5,"Alle Expertevaluierungsstatus",$B7,"-2",1,"-2","Alle","-2","anzahl_beteiligungen")/_xll.PALO.DATAC("jedoxtest/EU_PM_CUBE02","EUPM_Mittel2_Cube",Datenstand,"Alle Beteiligungen","Alle Koordinatoren","Alle Unternehmensgrößen","-2","Alle Organisationstypen",5,"Alle Expertevaluierungsstatus",$B7,"-2",-2,"-2","Alle","-2","anzahl_beteiligungen"),"-  ")</f>
        <v>2.7407135972214478E-2</v>
      </c>
      <c r="H7" s="324">
        <f ca="1">_xll.PALO.DATAC("jedoxtest/EU_PM_CUBE02","EUPM_Mittel2_Cube",Datenstand,"Alle Beteiligungen","Alle Koordinatoren","Alle Unternehmensgrößen","-2","Alle Organisationstypen",28,"Alle Expertevaluierungsstatus",$B7,"-2","-2","-2","Alle","-2","anzahl_beteiligungen")</f>
        <v>137401</v>
      </c>
      <c r="I7" s="206">
        <f ca="1">_xll.PALO.DATAC("jedoxtest/EU_PM_CUBE02","EUPM_Mittel2_Cube",Datenstand,"Alle Beteiligungen","Alle Koordinatoren","Alle Unternehmensgrößen","-2","Alle Organisationstypen",28,"Alle Expertevaluierungsstatus",$B7,"-2",1000001,"-2","Alle","-2","anzahl_beteiligungen")</f>
        <v>113028</v>
      </c>
      <c r="J7" s="206">
        <f ca="1">_xll.PALO.DATAC("jedoxtest/EU_PM_CUBE02","EUPM_Mittel2_Cube",Datenstand,"Alle Beteiligungen","Alle Koordinatoren","Alle Unternehmensgrößen","-2","Alle Organisationstypen",28,"Alle Expertevaluierungsstatus",$B7,"-2",1,"-2","Alle","-2","anzahl_beteiligungen")</f>
        <v>3919</v>
      </c>
      <c r="K7" s="323">
        <f ca="1">IFERROR(_xll.PALO.DATAC("jedoxtest/EU_PM_CUBE02","EUPM_Mittel2_Cube",Datenstand,"Alle Beteiligungen","Alle Koordinatoren","Alle Unternehmensgrößen","-2","Alle Organisationstypen",28,"Alle Expertevaluierungsstatus",$B7,"-2",1,"-2","Alle","-2","anzahl_beteiligungen")/_xll.PALO.DATAC("jedoxtest/EU_PM_CUBE02","EUPM_Mittel2_Cube",Datenstand,"Alle Beteiligungen","Alle Koordinatoren","Alle Unternehmensgrößen","-2","Alle Organisationstypen",28,"Alle Expertevaluierungsstatus",$B7,"-2",-2,"-2","Alle","-2","anzahl_beteiligungen"),"-  ")</f>
        <v>2.8522354276897546E-2</v>
      </c>
      <c r="L7" s="325">
        <f t="shared" ref="L7:N26" ca="1" si="0">IFERROR(H7/D7,"-   ")</f>
        <v>0.18242347961624963</v>
      </c>
      <c r="M7" s="325">
        <f t="shared" ca="1" si="0"/>
        <v>0.18705316951755546</v>
      </c>
      <c r="N7" s="325">
        <f t="shared" ca="1" si="0"/>
        <v>0.18984643704887855</v>
      </c>
      <c r="O7" s="206">
        <f ca="1">_xll.PALO.DATAC("jedoxtest/EU_PM_CUBE02","EUPM_Mittel2_Cube",Datenstand,"Alle Beteiligungen","Alle Koordinatoren","Alle Unternehmensgrößen","-2","Alle Organisationstypen",28,"Alle Expertevaluierungsstatus",$B7,"-2","-2","-2","Alle","-2","anzahl_koordinatoren")</f>
        <v>23372</v>
      </c>
      <c r="P7" s="206">
        <f ca="1">_xll.PALO.DATAC("jedoxtest/EU_PM_CUBE02","EUPM_Mittel2_Cube",Datenstand,"Alle Beteiligungen","Alle Koordinatoren","Alle Unternehmensgrößen","-2","Alle Organisationstypen",28,"Alle Expertevaluierungsstatus",$B7,"-2",1000001,"-2","Alle","-2","anzahl_koordinatoren")</f>
        <v>20138</v>
      </c>
      <c r="Q7" s="206">
        <f ca="1">_xll.PALO.DATAC("jedoxtest/EU_PM_CUBE02","EUPM_Mittel2_Cube",Datenstand,"Alle Beteiligungen","Alle Koordinatoren","Alle Unternehmensgrößen","-2","Alle Organisationstypen",28,"Alle Expertevaluierungsstatus",$B7,"-2",1,"-2","Alle","-2","anzahl_koordinatoren")</f>
        <v>774</v>
      </c>
      <c r="R7" s="323">
        <f ca="1">IFERROR(_xll.PALO.DATAC("jedoxtest/EU_PM_CUBE02","EUPM_Mittel2_Cube",Datenstand,"Alle Beteiligungen","Alle Koordinatoren","Alle Unternehmensgrößen","-2","Alle Organisationstypen",28,"Alle Expertevaluierungsstatus",$B7,"-2",1,"-2","Alle","-2","anzahl_koordinatoren")/_xll.PALO.DATAC("jedoxtest/EU_PM_CUBE02","EUPM_Mittel2_Cube",Datenstand,"Alle Beteiligungen","Alle Koordinatoren","Alle Unternehmensgrößen","-2","Alle Organisationstypen",28,"Alle Expertevaluierungsstatus",$B7,"-2",-2,"-2","Alle","-2","anzahl_koordinatoren"),"-  ")</f>
        <v>3.3116549717610813E-2</v>
      </c>
      <c r="S7" s="326">
        <f ca="1">_xll.PALO.DATAC("jedoxtest/EU_PM_CUBE02","EUPM_Mittel2_Cube",Datenstand,"Alle Beteiligungen","Alle Koordinatoren","Alle Unternehmensgrößen","-2","Alle Organisationstypen",28,"Alle Expertevaluierungsstatus",$B7,"-2","-2","-2","Alle","-2","foerderung")/1000000</f>
        <v>58295.985379557402</v>
      </c>
      <c r="T7" s="326">
        <f ca="1">_xll.PALO.DATAC("jedoxtest/EU_PM_CUBE02","EUPM_Mittel2_Cube",Datenstand,"Alle Beteiligungen","Alle Koordinatoren","Alle Unternehmensgrößen","-2","Alle Organisationstypen",28,"Alle Expertevaluierungsstatus",$B7,"-2",1000001,"-2","Alle","-2","foerderung")/1000000</f>
        <v>51597.038472098</v>
      </c>
      <c r="U7" s="326">
        <f ca="1">_xll.PALO.DATAC("jedoxtest/EU_PM_CUBE02","EUPM_Mittel2_Cube",Datenstand,"Alle Beteiligungen","Alle Koordinatoren","Alle Unternehmensgrößen","-2","Alle Organisationstypen",28,"Alle Expertevaluierungsstatus",$B7,"-2",1,"-2","Alle","-2","foerderung")/1000000</f>
        <v>1856.2015674500101</v>
      </c>
      <c r="V7" s="325">
        <f ca="1">IFERROR(_xll.PALO.DATAC("jedoxtest/EU_PM_CUBE02","EUPM_Mittel2_Cube",Datenstand,"Alle Beteiligungen","Alle Koordinatoren","Alle Unternehmensgrößen","-2","Alle Organisationstypen",28,"Alle Expertevaluierungsstatus",$B7,"-2",1,"-2","Alle","-2","foerderung")/_xll.PALO.DATAC("jedoxtest/EU_PM_CUBE02","EUPM_Mittel2_Cube",Datenstand,"Alle Beteiligungen","Alle Koordinatoren","Alle Unternehmensgrößen","-2","Alle Organisationstypen",28,"Alle Expertevaluierungsstatus",$B7,"-2",-2,"-2","Alle","-2","foerderung"),"-  ")</f>
        <v>3.1840984509731309E-2</v>
      </c>
    </row>
    <row r="8" spans="2:23" ht="15" customHeight="1">
      <c r="B8" t="s">
        <v>140</v>
      </c>
      <c r="C8" s="361" t="str">
        <f ca="1">_xll.PALO.DATA("jedoxtest/EU_PM_CUBE02","#_Programme","Langbezeichnung",$B8)</f>
        <v>Excellent Science</v>
      </c>
      <c r="D8" s="206">
        <f ca="1">_xll.PALO.DATAC("jedoxtest/EU_PM_CUBE02","EUPM_Mittel2_Cube",Datenstand,"Alle Beteiligungen","Alle Koordinatoren","Alle Unternehmensgrößen","-2","Alle Organisationstypen",5,"Alle Expertevaluierungsstatus",$B8,"-2","-2","-2","Alle","-2","anzahl_beteiligungen")</f>
        <v>240092</v>
      </c>
      <c r="E8" s="206">
        <f ca="1">_xll.PALO.DATAC("jedoxtest/EU_PM_CUBE02","EUPM_Mittel2_Cube",Datenstand,"Alle Beteiligungen","Alle Koordinatoren","Alle Unternehmensgrößen","-2","Alle Organisationstypen",5,"Alle Expertevaluierungsstatus",$B8,"-2",1000001,"-2","Alle","-2","anzahl_beteiligungen")</f>
        <v>181501</v>
      </c>
      <c r="F8" s="206">
        <f ca="1">_xll.PALO.DATAC("jedoxtest/EU_PM_CUBE02","EUPM_Mittel2_Cube",Datenstand,"Alle Beteiligungen","Alle Koordinatoren","Alle Unternehmensgrößen","-2","Alle Organisationstypen",5,"Alle Expertevaluierungsstatus",$B8,"-2",1,"-2","Alle","-2","anzahl_beteiligungen")</f>
        <v>6064</v>
      </c>
      <c r="G8" s="323">
        <f ca="1">IFERROR(_xll.PALO.DATAC("jedoxtest/EU_PM_CUBE02","EUPM_Mittel2_Cube",Datenstand,"Alle Beteiligungen","Alle Koordinatoren","Alle Unternehmensgrößen","-2","Alle Organisationstypen",5,"Alle Expertevaluierungsstatus",$B8,"-2",1,"-2","Alle","-2","anzahl_beteiligungen")/_xll.PALO.DATAC("jedoxtest/EU_PM_CUBE02","EUPM_Mittel2_Cube",Datenstand,"Alle Beteiligungen","Alle Koordinatoren","Alle Unternehmensgrößen","-2","Alle Organisationstypen",5,"Alle Expertevaluierungsstatus",$B8,"-2",-2,"-2","Alle","-2","anzahl_beteiligungen"),"-  ")</f>
        <v>2.5256984822484715E-2</v>
      </c>
      <c r="H8" s="324">
        <f ca="1">_xll.PALO.DATAC("jedoxtest/EU_PM_CUBE02","EUPM_Mittel2_Cube",Datenstand,"Alle Beteiligungen","Alle Koordinatoren","Alle Unternehmensgrößen","-2","Alle Organisationstypen",28,"Alle Expertevaluierungsstatus",$B8,"-2","-2","-2","Alle","-2","anzahl_beteiligungen")</f>
        <v>43966</v>
      </c>
      <c r="I8" s="206">
        <f ca="1">_xll.PALO.DATAC("jedoxtest/EU_PM_CUBE02","EUPM_Mittel2_Cube",Datenstand,"Alle Beteiligungen","Alle Koordinatoren","Alle Unternehmensgrößen","-2","Alle Organisationstypen",28,"Alle Expertevaluierungsstatus",$B8,"-2",1000001,"-2","Alle","-2","anzahl_beteiligungen")</f>
        <v>34088</v>
      </c>
      <c r="J8" s="206">
        <f ca="1">_xll.PALO.DATAC("jedoxtest/EU_PM_CUBE02","EUPM_Mittel2_Cube",Datenstand,"Alle Beteiligungen","Alle Koordinatoren","Alle Unternehmensgrößen","-2","Alle Organisationstypen",28,"Alle Expertevaluierungsstatus",$B8,"-2",1,"-2","Alle","-2","anzahl_beteiligungen")</f>
        <v>1144</v>
      </c>
      <c r="K8" s="323">
        <f ca="1">IFERROR(_xll.PALO.DATAC("jedoxtest/EU_PM_CUBE02","EUPM_Mittel2_Cube",Datenstand,"Alle Beteiligungen","Alle Koordinatoren","Alle Unternehmensgrößen","-2","Alle Organisationstypen",28,"Alle Expertevaluierungsstatus",$B8,"-2",1,"-2","Alle","-2","anzahl_beteiligungen")/_xll.PALO.DATAC("jedoxtest/EU_PM_CUBE02","EUPM_Mittel2_Cube",Datenstand,"Alle Beteiligungen","Alle Koordinatoren","Alle Unternehmensgrößen","-2","Alle Organisationstypen",28,"Alle Expertevaluierungsstatus",$B8,"-2",-2,"-2","Alle","-2","anzahl_beteiligungen"),"-  ")</f>
        <v>2.6020106445890007E-2</v>
      </c>
      <c r="L8" s="325">
        <f t="shared" ca="1" si="0"/>
        <v>0.18312147010312713</v>
      </c>
      <c r="M8" s="325">
        <f t="shared" ca="1" si="0"/>
        <v>0.18781163740144682</v>
      </c>
      <c r="N8" s="325">
        <f t="shared" ca="1" si="0"/>
        <v>0.18865435356200527</v>
      </c>
      <c r="O8" s="206">
        <f ca="1">_xll.PALO.DATAC("jedoxtest/EU_PM_CUBE02","EUPM_Mittel2_Cube",Datenstand,"Alle Beteiligungen","Alle Koordinatoren","Alle Unternehmensgrößen","-2","Alle Organisationstypen",28,"Alle Expertevaluierungsstatus",$B8,"-2","-2","-2","Alle","-2","anzahl_koordinatoren")</f>
        <v>14660</v>
      </c>
      <c r="P8" s="206">
        <f ca="1">_xll.PALO.DATAC("jedoxtest/EU_PM_CUBE02","EUPM_Mittel2_Cube",Datenstand,"Alle Beteiligungen","Alle Koordinatoren","Alle Unternehmensgrößen","-2","Alle Organisationstypen",28,"Alle Expertevaluierungsstatus",$B8,"-2",1000001,"-2","Alle","-2","anzahl_koordinatoren")</f>
        <v>12455</v>
      </c>
      <c r="Q8" s="206">
        <f ca="1">_xll.PALO.DATAC("jedoxtest/EU_PM_CUBE02","EUPM_Mittel2_Cube",Datenstand,"Alle Beteiligungen","Alle Koordinatoren","Alle Unternehmensgrößen","-2","Alle Organisationstypen",28,"Alle Expertevaluierungsstatus",$B8,"-2",1,"-2","Alle","-2","anzahl_koordinatoren")</f>
        <v>509</v>
      </c>
      <c r="R8" s="323">
        <f ca="1">IFERROR(_xll.PALO.DATAC("jedoxtest/EU_PM_CUBE02","EUPM_Mittel2_Cube",Datenstand,"Alle Beteiligungen","Alle Koordinatoren","Alle Unternehmensgrößen","-2","Alle Organisationstypen",28,"Alle Expertevaluierungsstatus",$B8,"-2",1,"-2","Alle","-2","anzahl_koordinatoren")/_xll.PALO.DATAC("jedoxtest/EU_PM_CUBE02","EUPM_Mittel2_Cube",Datenstand,"Alle Beteiligungen","Alle Koordinatoren","Alle Unternehmensgrößen","-2","Alle Organisationstypen",28,"Alle Expertevaluierungsstatus",$B8,"-2",-2,"-2","Alle","-2","anzahl_koordinatoren"),"-  ")</f>
        <v>3.4720327421555251E-2</v>
      </c>
      <c r="S8" s="326">
        <f ca="1">_xll.PALO.DATAC("jedoxtest/EU_PM_CUBE02","EUPM_Mittel2_Cube",Datenstand,"Alle Beteiligungen","Alle Koordinatoren","Alle Unternehmensgrößen","-2","Alle Organisationstypen",28,"Alle Expertevaluierungsstatus",$B8,"-2","-2","-2","Alle","-2","foerderung")/1000000</f>
        <v>16908.987494669902</v>
      </c>
      <c r="T8" s="326">
        <f ca="1">_xll.PALO.DATAC("jedoxtest/EU_PM_CUBE02","EUPM_Mittel2_Cube",Datenstand,"Alle Beteiligungen","Alle Koordinatoren","Alle Unternehmensgrößen","-2","Alle Organisationstypen",28,"Alle Expertevaluierungsstatus",$B8,"-2",1000001,"-2","Alle","-2","foerderung")/1000000</f>
        <v>14302.1498219799</v>
      </c>
      <c r="U8" s="326">
        <f ca="1">_xll.PALO.DATAC("jedoxtest/EU_PM_CUBE02","EUPM_Mittel2_Cube",Datenstand,"Alle Beteiligungen","Alle Koordinatoren","Alle Unternehmensgrößen","-2","Alle Organisationstypen",28,"Alle Expertevaluierungsstatus",$B8,"-2",1,"-2","Alle","-2","foerderung")/1000000</f>
        <v>609.70869416000107</v>
      </c>
      <c r="V8" s="325">
        <f ca="1">IFERROR(_xll.PALO.DATAC("jedoxtest/EU_PM_CUBE02","EUPM_Mittel2_Cube",Datenstand,"Alle Beteiligungen","Alle Koordinatoren","Alle Unternehmensgrößen","-2","Alle Organisationstypen",28,"Alle Expertevaluierungsstatus",$B8,"-2",1,"-2","Alle","-2","foerderung")/_xll.PALO.DATAC("jedoxtest/EU_PM_CUBE02","EUPM_Mittel2_Cube",Datenstand,"Alle Beteiligungen","Alle Koordinatoren","Alle Unternehmensgrößen","-2","Alle Organisationstypen",28,"Alle Expertevaluierungsstatus",$B8,"-2",-2,"-2","Alle","-2","foerderung"),"-  ")</f>
        <v>3.6058261581433847E-2</v>
      </c>
    </row>
    <row r="9" spans="2:23" ht="15" customHeight="1">
      <c r="B9" t="s">
        <v>141</v>
      </c>
      <c r="C9" s="473" t="str">
        <f ca="1">_xll.PALO.DATA("jedoxtest/EU_PM_CUBE02","#_Programme","Langbezeichnung",$B9)</f>
        <v>European Research Council (ERC)</v>
      </c>
      <c r="D9" s="226">
        <f ca="1">_xll.PALO.DATAC("jedoxtest/EU_PM_CUBE02","EUPM_Mittel2_Cube",Datenstand,"Alle Beteiligungen","Alle Koordinatoren","Alle Unternehmensgrößen","-2","Alle Organisationstypen",5,"Alle Expertevaluierungsstatus",$B9,"-2","-2","-2","Alle","-2","anzahl_beteiligungen")</f>
        <v>43979</v>
      </c>
      <c r="E9" s="226">
        <f ca="1">_xll.PALO.DATAC("jedoxtest/EU_PM_CUBE02","EUPM_Mittel2_Cube",Datenstand,"Alle Beteiligungen","Alle Koordinatoren","Alle Unternehmensgrößen","-2","Alle Organisationstypen",5,"Alle Expertevaluierungsstatus",$B9,"-2",1000001,"-2","Alle","-2","anzahl_beteiligungen")</f>
        <v>33794</v>
      </c>
      <c r="F9" s="226">
        <f ca="1">_xll.PALO.DATAC("jedoxtest/EU_PM_CUBE02","EUPM_Mittel2_Cube",Datenstand,"Alle Beteiligungen","Alle Koordinatoren","Alle Unternehmensgrößen","-2","Alle Organisationstypen",5,"Alle Expertevaluierungsstatus",$B9,"-2",1,"-2","Alle","-2","anzahl_beteiligungen")</f>
        <v>1316</v>
      </c>
      <c r="G9" s="232">
        <f ca="1">IFERROR(_xll.PALO.DATAC("jedoxtest/EU_PM_CUBE02","EUPM_Mittel2_Cube",Datenstand,"Alle Beteiligungen","Alle Koordinatoren","Alle Unternehmensgrößen","-2","Alle Organisationstypen",5,"Alle Expertevaluierungsstatus",$B9,"-2",1,"-2","Alle","-2","anzahl_beteiligungen")/_xll.PALO.DATAC("jedoxtest/EU_PM_CUBE02","EUPM_Mittel2_Cube",Datenstand,"Alle Beteiligungen","Alle Koordinatoren","Alle Unternehmensgrößen","-2","Alle Organisationstypen",5,"Alle Expertevaluierungsstatus",$B9,"-2",-2,"-2","Alle","-2","anzahl_beteiligungen"),"-  ")</f>
        <v>2.9923372518702109E-2</v>
      </c>
      <c r="H9" s="234">
        <f ca="1">_xll.PALO.DATAC("jedoxtest/EU_PM_CUBE02","EUPM_Mittel2_Cube",Datenstand,"Alle Beteiligungen","Alle Koordinatoren","Alle Unternehmensgrößen","-2","Alle Organisationstypen",28,"Alle Expertevaluierungsstatus",$B9,"-2","-2","-2","Alle","-2","anzahl_beteiligungen")</f>
        <v>7641</v>
      </c>
      <c r="I9" s="226">
        <f ca="1">_xll.PALO.DATAC("jedoxtest/EU_PM_CUBE02","EUPM_Mittel2_Cube",Datenstand,"Alle Beteiligungen","Alle Koordinatoren","Alle Unternehmensgrößen","-2","Alle Organisationstypen",28,"Alle Expertevaluierungsstatus",$B9,"-2",1000001,"-2","Alle","-2","anzahl_beteiligungen")</f>
        <v>6353</v>
      </c>
      <c r="J9" s="226">
        <f ca="1">_xll.PALO.DATAC("jedoxtest/EU_PM_CUBE02","EUPM_Mittel2_Cube",Datenstand,"Alle Beteiligungen","Alle Koordinatoren","Alle Unternehmensgrößen","-2","Alle Organisationstypen",28,"Alle Expertevaluierungsstatus",$B9,"-2",1,"-2","Alle","-2","anzahl_beteiligungen")</f>
        <v>292</v>
      </c>
      <c r="K9" s="232">
        <f ca="1">IFERROR(_xll.PALO.DATAC("jedoxtest/EU_PM_CUBE02","EUPM_Mittel2_Cube",Datenstand,"Alle Beteiligungen","Alle Koordinatoren","Alle Unternehmensgrößen","-2","Alle Organisationstypen",28,"Alle Expertevaluierungsstatus",$B9,"-2",1,"-2","Alle","-2","anzahl_beteiligungen")/_xll.PALO.DATAC("jedoxtest/EU_PM_CUBE02","EUPM_Mittel2_Cube",Datenstand,"Alle Beteiligungen","Alle Koordinatoren","Alle Unternehmensgrößen","-2","Alle Organisationstypen",28,"Alle Expertevaluierungsstatus",$B9,"-2",-2,"-2","Alle","-2","anzahl_beteiligungen"),"-  ")</f>
        <v>3.821489333856825E-2</v>
      </c>
      <c r="L9" s="227">
        <f t="shared" ca="1" si="0"/>
        <v>0.17374201323358876</v>
      </c>
      <c r="M9" s="227">
        <f t="shared" ca="1" si="0"/>
        <v>0.18799195123394685</v>
      </c>
      <c r="N9" s="227">
        <f t="shared" ca="1" si="0"/>
        <v>0.22188449848024316</v>
      </c>
      <c r="O9" s="226">
        <f ca="1">_xll.PALO.DATAC("jedoxtest/EU_PM_CUBE02","EUPM_Mittel2_Cube",Datenstand,"Alle Beteiligungen","Alle Koordinatoren","Alle Unternehmensgrößen","-2","Alle Organisationstypen",28,"Alle Expertevaluierungsstatus",$B9,"-2","-2","-2","Alle","-2","anzahl_koordinatoren")</f>
        <v>6011</v>
      </c>
      <c r="P9" s="226">
        <f ca="1">_xll.PALO.DATAC("jedoxtest/EU_PM_CUBE02","EUPM_Mittel2_Cube",Datenstand,"Alle Beteiligungen","Alle Koordinatoren","Alle Unternehmensgrößen","-2","Alle Organisationstypen",28,"Alle Expertevaluierungsstatus",$B9,"-2",1000001,"-2","Alle","-2","anzahl_koordinatoren")</f>
        <v>5070</v>
      </c>
      <c r="Q9" s="226">
        <f ca="1">_xll.PALO.DATAC("jedoxtest/EU_PM_CUBE02","EUPM_Mittel2_Cube",Datenstand,"Alle Beteiligungen","Alle Koordinatoren","Alle Unternehmensgrößen","-2","Alle Organisationstypen",28,"Alle Expertevaluierungsstatus",$B9,"-2",1,"-2","Alle","-2","anzahl_koordinatoren")</f>
        <v>250</v>
      </c>
      <c r="R9" s="232">
        <f ca="1">IFERROR(_xll.PALO.DATAC("jedoxtest/EU_PM_CUBE02","EUPM_Mittel2_Cube",Datenstand,"Alle Beteiligungen","Alle Koordinatoren","Alle Unternehmensgrößen","-2","Alle Organisationstypen",28,"Alle Expertevaluierungsstatus",$B9,"-2",1,"-2","Alle","-2","anzahl_koordinatoren")/_xll.PALO.DATAC("jedoxtest/EU_PM_CUBE02","EUPM_Mittel2_Cube",Datenstand,"Alle Beteiligungen","Alle Koordinatoren","Alle Unternehmensgrößen","-2","Alle Organisationstypen",28,"Alle Expertevaluierungsstatus",$B9,"-2",-2,"-2","Alle","-2","anzahl_koordinatoren"),"-  ")</f>
        <v>4.159041756779238E-2</v>
      </c>
      <c r="S9" s="228">
        <f ca="1">_xll.PALO.DATAC("jedoxtest/EU_PM_CUBE02","EUPM_Mittel2_Cube",Datenstand,"Alle Beteiligungen","Alle Koordinatoren","Alle Unternehmensgrößen","-2","Alle Organisationstypen",28,"Alle Expertevaluierungsstatus",$B9,"-2","-2","-2","Alle","-2","foerderung")/1000000</f>
        <v>10799.60712303</v>
      </c>
      <c r="T9" s="228">
        <f ca="1">_xll.PALO.DATAC("jedoxtest/EU_PM_CUBE02","EUPM_Mittel2_Cube",Datenstand,"Alle Beteiligungen","Alle Koordinatoren","Alle Unternehmensgrößen","-2","Alle Organisationstypen",28,"Alle Expertevaluierungsstatus",$B9,"-2",1000001,"-2","Alle","-2","foerderung")/1000000</f>
        <v>8954.1133909</v>
      </c>
      <c r="U9" s="228">
        <f ca="1">_xll.PALO.DATAC("jedoxtest/EU_PM_CUBE02","EUPM_Mittel2_Cube",Datenstand,"Alle Beteiligungen","Alle Koordinatoren","Alle Unternehmensgrößen","-2","Alle Organisationstypen",28,"Alle Expertevaluierungsstatus",$B9,"-2",1,"-2","Alle","-2","foerderung")/1000000</f>
        <v>447.84801045999995</v>
      </c>
      <c r="V9" s="227">
        <f ca="1">IFERROR(_xll.PALO.DATAC("jedoxtest/EU_PM_CUBE02","EUPM_Mittel2_Cube",Datenstand,"Alle Beteiligungen","Alle Koordinatoren","Alle Unternehmensgrößen","-2","Alle Organisationstypen",28,"Alle Expertevaluierungsstatus",$B9,"-2",1,"-2","Alle","-2","foerderung")/_xll.PALO.DATAC("jedoxtest/EU_PM_CUBE02","EUPM_Mittel2_Cube",Datenstand,"Alle Beteiligungen","Alle Koordinatoren","Alle Unternehmensgrößen","-2","Alle Organisationstypen",28,"Alle Expertevaluierungsstatus",$B9,"-2",-2,"-2","Alle","-2","foerderung"),"-  ")</f>
        <v>4.1468916911335675E-2</v>
      </c>
    </row>
    <row r="10" spans="2:23" ht="15" customHeight="1">
      <c r="B10" t="s">
        <v>142</v>
      </c>
      <c r="C10" s="473" t="str">
        <f ca="1">_xll.PALO.DATA("jedoxtest/EU_PM_CUBE02","#_Programme","Langbezeichnung",$B10)</f>
        <v>Marie Skłodowska-Curie Actions (MSCA)</v>
      </c>
      <c r="D10" s="226">
        <f ca="1">_xll.PALO.DATAC("jedoxtest/EU_PM_CUBE02","EUPM_Mittel2_Cube",Datenstand,"Alle Beteiligungen","Alle Koordinatoren","Alle Unternehmensgrößen","-2","Alle Organisationstypen",5,"Alle Expertevaluierungsstatus",$B10,"-2","-2","-2","Alle","-2","anzahl_beteiligungen")</f>
        <v>185647</v>
      </c>
      <c r="E10" s="226">
        <f ca="1">_xll.PALO.DATAC("jedoxtest/EU_PM_CUBE02","EUPM_Mittel2_Cube",Datenstand,"Alle Beteiligungen","Alle Koordinatoren","Alle Unternehmensgrößen","-2","Alle Organisationstypen",5,"Alle Expertevaluierungsstatus",$B10,"-2",1000001,"-2","Alle","-2","anzahl_beteiligungen")</f>
        <v>139267</v>
      </c>
      <c r="F10" s="226">
        <f ca="1">_xll.PALO.DATAC("jedoxtest/EU_PM_CUBE02","EUPM_Mittel2_Cube",Datenstand,"Alle Beteiligungen","Alle Koordinatoren","Alle Unternehmensgrößen","-2","Alle Organisationstypen",5,"Alle Expertevaluierungsstatus",$B10,"-2",1,"-2","Alle","-2","anzahl_beteiligungen")</f>
        <v>4504</v>
      </c>
      <c r="G10" s="232">
        <f ca="1">IFERROR(_xll.PALO.DATAC("jedoxtest/EU_PM_CUBE02","EUPM_Mittel2_Cube",Datenstand,"Alle Beteiligungen","Alle Koordinatoren","Alle Unternehmensgrößen","-2","Alle Organisationstypen",5,"Alle Expertevaluierungsstatus",$B10,"-2",1,"-2","Alle","-2","anzahl_beteiligungen")/_xll.PALO.DATAC("jedoxtest/EU_PM_CUBE02","EUPM_Mittel2_Cube",Datenstand,"Alle Beteiligungen","Alle Koordinatoren","Alle Unternehmensgrößen","-2","Alle Organisationstypen",5,"Alle Expertevaluierungsstatus",$B10,"-2",-2,"-2","Alle","-2","anzahl_beteiligungen"),"-  ")</f>
        <v>2.4261097674619037E-2</v>
      </c>
      <c r="H10" s="234">
        <f ca="1">_xll.PALO.DATAC("jedoxtest/EU_PM_CUBE02","EUPM_Mittel2_Cube",Datenstand,"Alle Beteiligungen","Alle Koordinatoren","Alle Unternehmensgrößen","-2","Alle Organisationstypen",28,"Alle Expertevaluierungsstatus",$B10,"-2","-2","-2","Alle","-2","anzahl_beteiligungen")</f>
        <v>30861</v>
      </c>
      <c r="I10" s="226">
        <f ca="1">_xll.PALO.DATAC("jedoxtest/EU_PM_CUBE02","EUPM_Mittel2_Cube",Datenstand,"Alle Beteiligungen","Alle Koordinatoren","Alle Unternehmensgrößen","-2","Alle Organisationstypen",28,"Alle Expertevaluierungsstatus",$B10,"-2",1000001,"-2","Alle","-2","anzahl_beteiligungen")</f>
        <v>23274</v>
      </c>
      <c r="J10" s="226">
        <f ca="1">_xll.PALO.DATAC("jedoxtest/EU_PM_CUBE02","EUPM_Mittel2_Cube",Datenstand,"Alle Beteiligungen","Alle Koordinatoren","Alle Unternehmensgrößen","-2","Alle Organisationstypen",28,"Alle Expertevaluierungsstatus",$B10,"-2",1,"-2","Alle","-2","anzahl_beteiligungen")</f>
        <v>729</v>
      </c>
      <c r="K10" s="232">
        <f ca="1">IFERROR(_xll.PALO.DATAC("jedoxtest/EU_PM_CUBE02","EUPM_Mittel2_Cube",Datenstand,"Alle Beteiligungen","Alle Koordinatoren","Alle Unternehmensgrößen","-2","Alle Organisationstypen",28,"Alle Expertevaluierungsstatus",$B10,"-2",1,"-2","Alle","-2","anzahl_beteiligungen")/_xll.PALO.DATAC("jedoxtest/EU_PM_CUBE02","EUPM_Mittel2_Cube",Datenstand,"Alle Beteiligungen","Alle Koordinatoren","Alle Unternehmensgrößen","-2","Alle Organisationstypen",28,"Alle Expertevaluierungsstatus",$B10,"-2",-2,"-2","Alle","-2","anzahl_beteiligungen"),"-  ")</f>
        <v>2.3622047244094488E-2</v>
      </c>
      <c r="L10" s="227">
        <f t="shared" ca="1" si="0"/>
        <v>0.16623484354716209</v>
      </c>
      <c r="M10" s="227">
        <f t="shared" ca="1" si="0"/>
        <v>0.16711783839674868</v>
      </c>
      <c r="N10" s="227">
        <f t="shared" ca="1" si="0"/>
        <v>0.16185612788632328</v>
      </c>
      <c r="O10" s="226">
        <f ca="1">_xll.PALO.DATAC("jedoxtest/EU_PM_CUBE02","EUPM_Mittel2_Cube",Datenstand,"Alle Beteiligungen","Alle Koordinatoren","Alle Unternehmensgrößen","-2","Alle Organisationstypen",28,"Alle Expertevaluierungsstatus",$B10,"-2","-2","-2","Alle","-2","anzahl_koordinatoren")</f>
        <v>8397</v>
      </c>
      <c r="P10" s="226">
        <f ca="1">_xll.PALO.DATAC("jedoxtest/EU_PM_CUBE02","EUPM_Mittel2_Cube",Datenstand,"Alle Beteiligungen","Alle Koordinatoren","Alle Unternehmensgrößen","-2","Alle Organisationstypen",28,"Alle Expertevaluierungsstatus",$B10,"-2",1000001,"-2","Alle","-2","anzahl_koordinatoren")</f>
        <v>7157</v>
      </c>
      <c r="Q10" s="226">
        <f ca="1">_xll.PALO.DATAC("jedoxtest/EU_PM_CUBE02","EUPM_Mittel2_Cube",Datenstand,"Alle Beteiligungen","Alle Koordinatoren","Alle Unternehmensgrößen","-2","Alle Organisationstypen",28,"Alle Expertevaluierungsstatus",$B10,"-2",1,"-2","Alle","-2","anzahl_koordinatoren")</f>
        <v>253</v>
      </c>
      <c r="R10" s="232">
        <f ca="1">IFERROR(_xll.PALO.DATAC("jedoxtest/EU_PM_CUBE02","EUPM_Mittel2_Cube",Datenstand,"Alle Beteiligungen","Alle Koordinatoren","Alle Unternehmensgrößen","-2","Alle Organisationstypen",28,"Alle Expertevaluierungsstatus",$B10,"-2",1,"-2","Alle","-2","anzahl_koordinatoren")/_xll.PALO.DATAC("jedoxtest/EU_PM_CUBE02","EUPM_Mittel2_Cube",Datenstand,"Alle Beteiligungen","Alle Koordinatoren","Alle Unternehmensgrößen","-2","Alle Organisationstypen",28,"Alle Expertevaluierungsstatus",$B10,"-2",-2,"-2","Alle","-2","anzahl_koordinatoren"),"-  ")</f>
        <v>3.0129808264856495E-2</v>
      </c>
      <c r="S10" s="228">
        <f ca="1">_xll.PALO.DATAC("jedoxtest/EU_PM_CUBE02","EUPM_Mittel2_Cube",Datenstand,"Alle Beteiligungen","Alle Koordinatoren","Alle Unternehmensgrößen","-2","Alle Organisationstypen",28,"Alle Expertevaluierungsstatus",$B10,"-2","-2","-2","Alle","-2","foerderung")/1000000</f>
        <v>4478.54756705</v>
      </c>
      <c r="T10" s="228">
        <f ca="1">_xll.PALO.DATAC("jedoxtest/EU_PM_CUBE02","EUPM_Mittel2_Cube",Datenstand,"Alle Beteiligungen","Alle Koordinatoren","Alle Unternehmensgrößen","-2","Alle Organisationstypen",28,"Alle Expertevaluierungsstatus",$B10,"-2",1000001,"-2","Alle","-2","foerderung")/1000000</f>
        <v>3921.8029459499899</v>
      </c>
      <c r="U10" s="228">
        <f ca="1">_xll.PALO.DATAC("jedoxtest/EU_PM_CUBE02","EUPM_Mittel2_Cube",Datenstand,"Alle Beteiligungen","Alle Koordinatoren","Alle Unternehmensgrößen","-2","Alle Organisationstypen",28,"Alle Expertevaluierungsstatus",$B10,"-2",1,"-2","Alle","-2","foerderung")/1000000</f>
        <v>126.06924600000001</v>
      </c>
      <c r="V10" s="227">
        <f ca="1">IFERROR(_xll.PALO.DATAC("jedoxtest/EU_PM_CUBE02","EUPM_Mittel2_Cube",Datenstand,"Alle Beteiligungen","Alle Koordinatoren","Alle Unternehmensgrößen","-2","Alle Organisationstypen",28,"Alle Expertevaluierungsstatus",$B10,"-2",1,"-2","Alle","-2","foerderung")/_xll.PALO.DATAC("jedoxtest/EU_PM_CUBE02","EUPM_Mittel2_Cube",Datenstand,"Alle Beteiligungen","Alle Koordinatoren","Alle Unternehmensgrößen","-2","Alle Organisationstypen",28,"Alle Expertevaluierungsstatus",$B10,"-2",-2,"-2","Alle","-2","foerderung"),"-  ")</f>
        <v>2.8149582897707453E-2</v>
      </c>
    </row>
    <row r="11" spans="2:23" ht="15" customHeight="1">
      <c r="B11" t="s">
        <v>143</v>
      </c>
      <c r="C11" s="473" t="str">
        <f ca="1">_xll.PALO.DATA("jedoxtest/EU_PM_CUBE02","#_Programme","Langbezeichnung",$B11)</f>
        <v>Research infrastructures</v>
      </c>
      <c r="D11" s="226">
        <f ca="1">_xll.PALO.DATAC("jedoxtest/EU_PM_CUBE02","EUPM_Mittel2_Cube",Datenstand,"Alle Beteiligungen","Alle Koordinatoren","Alle Unternehmensgrößen","-2","Alle Organisationstypen",5,"Alle Expertevaluierungsstatus",$B11,"-2","-2","-2","Alle","-2","anzahl_beteiligungen")</f>
        <v>10466</v>
      </c>
      <c r="E11" s="226">
        <f ca="1">_xll.PALO.DATAC("jedoxtest/EU_PM_CUBE02","EUPM_Mittel2_Cube",Datenstand,"Alle Beteiligungen","Alle Koordinatoren","Alle Unternehmensgrößen","-2","Alle Organisationstypen",5,"Alle Expertevaluierungsstatus",$B11,"-2",1000001,"-2","Alle","-2","anzahl_beteiligungen")</f>
        <v>8440</v>
      </c>
      <c r="F11" s="226">
        <f ca="1">_xll.PALO.DATAC("jedoxtest/EU_PM_CUBE02","EUPM_Mittel2_Cube",Datenstand,"Alle Beteiligungen","Alle Koordinatoren","Alle Unternehmensgrößen","-2","Alle Organisationstypen",5,"Alle Expertevaluierungsstatus",$B11,"-2",1,"-2","Alle","-2","anzahl_beteiligungen")</f>
        <v>244</v>
      </c>
      <c r="G11" s="232">
        <f ca="1">IFERROR(_xll.PALO.DATAC("jedoxtest/EU_PM_CUBE02","EUPM_Mittel2_Cube",Datenstand,"Alle Beteiligungen","Alle Koordinatoren","Alle Unternehmensgrößen","-2","Alle Organisationstypen",5,"Alle Expertevaluierungsstatus",$B11,"-2",1,"-2","Alle","-2","anzahl_beteiligungen")/_xll.PALO.DATAC("jedoxtest/EU_PM_CUBE02","EUPM_Mittel2_Cube",Datenstand,"Alle Beteiligungen","Alle Koordinatoren","Alle Unternehmensgrößen","-2","Alle Organisationstypen",5,"Alle Expertevaluierungsstatus",$B11,"-2",-2,"-2","Alle","-2","anzahl_beteiligungen"),"-  ")</f>
        <v>2.3313586852665776E-2</v>
      </c>
      <c r="H11" s="234">
        <f ca="1">_xll.PALO.DATAC("jedoxtest/EU_PM_CUBE02","EUPM_Mittel2_Cube",Datenstand,"Alle Beteiligungen","Alle Koordinatoren","Alle Unternehmensgrößen","-2","Alle Organisationstypen",28,"Alle Expertevaluierungsstatus",$B11,"-2","-2","-2","Alle","-2","anzahl_beteiligungen")</f>
        <v>5464</v>
      </c>
      <c r="I11" s="226">
        <f ca="1">_xll.PALO.DATAC("jedoxtest/EU_PM_CUBE02","EUPM_Mittel2_Cube",Datenstand,"Alle Beteiligungen","Alle Koordinatoren","Alle Unternehmensgrößen","-2","Alle Organisationstypen",28,"Alle Expertevaluierungsstatus",$B11,"-2",1000001,"-2","Alle","-2","anzahl_beteiligungen")</f>
        <v>4461</v>
      </c>
      <c r="J11" s="226">
        <f ca="1">_xll.PALO.DATAC("jedoxtest/EU_PM_CUBE02","EUPM_Mittel2_Cube",Datenstand,"Alle Beteiligungen","Alle Koordinatoren","Alle Unternehmensgrößen","-2","Alle Organisationstypen",28,"Alle Expertevaluierungsstatus",$B11,"-2",1,"-2","Alle","-2","anzahl_beteiligungen")</f>
        <v>123</v>
      </c>
      <c r="K11" s="232">
        <f ca="1">IFERROR(_xll.PALO.DATAC("jedoxtest/EU_PM_CUBE02","EUPM_Mittel2_Cube",Datenstand,"Alle Beteiligungen","Alle Koordinatoren","Alle Unternehmensgrößen","-2","Alle Organisationstypen",28,"Alle Expertevaluierungsstatus",$B11,"-2",1,"-2","Alle","-2","anzahl_beteiligungen")/_xll.PALO.DATAC("jedoxtest/EU_PM_CUBE02","EUPM_Mittel2_Cube",Datenstand,"Alle Beteiligungen","Alle Koordinatoren","Alle Unternehmensgrößen","-2","Alle Organisationstypen",28,"Alle Expertevaluierungsstatus",$B11,"-2",-2,"-2","Alle","-2","anzahl_beteiligungen"),"-  ")</f>
        <v>2.2510980966325037E-2</v>
      </c>
      <c r="L11" s="227">
        <f t="shared" ca="1" si="0"/>
        <v>0.52207146952035166</v>
      </c>
      <c r="M11" s="227">
        <f t="shared" ca="1" si="0"/>
        <v>0.52855450236966828</v>
      </c>
      <c r="N11" s="227">
        <f t="shared" ca="1" si="0"/>
        <v>0.50409836065573765</v>
      </c>
      <c r="O11" s="226">
        <f ca="1">_xll.PALO.DATAC("jedoxtest/EU_PM_CUBE02","EUPM_Mittel2_Cube",Datenstand,"Alle Beteiligungen","Alle Koordinatoren","Alle Unternehmensgrößen","-2","Alle Organisationstypen",28,"Alle Expertevaluierungsstatus",$B11,"-2","-2","-2","Alle","-2","anzahl_koordinatoren")</f>
        <v>252</v>
      </c>
      <c r="P11" s="226">
        <f ca="1">_xll.PALO.DATAC("jedoxtest/EU_PM_CUBE02","EUPM_Mittel2_Cube",Datenstand,"Alle Beteiligungen","Alle Koordinatoren","Alle Unternehmensgrößen","-2","Alle Organisationstypen",28,"Alle Expertevaluierungsstatus",$B11,"-2",1000001,"-2","Alle","-2","anzahl_koordinatoren")</f>
        <v>228</v>
      </c>
      <c r="Q11" s="226">
        <f ca="1">_xll.PALO.DATAC("jedoxtest/EU_PM_CUBE02","EUPM_Mittel2_Cube",Datenstand,"Alle Beteiligungen","Alle Koordinatoren","Alle Unternehmensgrößen","-2","Alle Organisationstypen",28,"Alle Expertevaluierungsstatus",$B11,"-2",1,"-2","Alle","-2","anzahl_koordinatoren")</f>
        <v>6</v>
      </c>
      <c r="R11" s="232">
        <f ca="1">IFERROR(_xll.PALO.DATAC("jedoxtest/EU_PM_CUBE02","EUPM_Mittel2_Cube",Datenstand,"Alle Beteiligungen","Alle Koordinatoren","Alle Unternehmensgrößen","-2","Alle Organisationstypen",28,"Alle Expertevaluierungsstatus",$B11,"-2",1,"-2","Alle","-2","anzahl_koordinatoren")/_xll.PALO.DATAC("jedoxtest/EU_PM_CUBE02","EUPM_Mittel2_Cube",Datenstand,"Alle Beteiligungen","Alle Koordinatoren","Alle Unternehmensgrößen","-2","Alle Organisationstypen",28,"Alle Expertevaluierungsstatus",$B11,"-2",-2,"-2","Alle","-2","anzahl_koordinatoren"),"-  ")</f>
        <v>2.3809523809523808E-2</v>
      </c>
      <c r="S11" s="228">
        <f ca="1">_xll.PALO.DATAC("jedoxtest/EU_PM_CUBE02","EUPM_Mittel2_Cube",Datenstand,"Alle Beteiligungen","Alle Koordinatoren","Alle Unternehmensgrößen","-2","Alle Organisationstypen",28,"Alle Expertevaluierungsstatus",$B11,"-2","-2","-2","Alle","-2","foerderung")/1000000</f>
        <v>1630.83280459</v>
      </c>
      <c r="T11" s="228">
        <f ca="1">_xll.PALO.DATAC("jedoxtest/EU_PM_CUBE02","EUPM_Mittel2_Cube",Datenstand,"Alle Beteiligungen","Alle Koordinatoren","Alle Unternehmensgrößen","-2","Alle Organisationstypen",28,"Alle Expertevaluierungsstatus",$B11,"-2",1000001,"-2","Alle","-2","foerderung")/1000000</f>
        <v>1426.2334851300002</v>
      </c>
      <c r="U11" s="228">
        <f ca="1">_xll.PALO.DATAC("jedoxtest/EU_PM_CUBE02","EUPM_Mittel2_Cube",Datenstand,"Alle Beteiligungen","Alle Koordinatoren","Alle Unternehmensgrößen","-2","Alle Organisationstypen",28,"Alle Expertevaluierungsstatus",$B11,"-2",1,"-2","Alle","-2","foerderung")/1000000</f>
        <v>35.791437700000003</v>
      </c>
      <c r="V11" s="227">
        <f ca="1">IFERROR(_xll.PALO.DATAC("jedoxtest/EU_PM_CUBE02","EUPM_Mittel2_Cube",Datenstand,"Alle Beteiligungen","Alle Koordinatoren","Alle Unternehmensgrößen","-2","Alle Organisationstypen",28,"Alle Expertevaluierungsstatus",$B11,"-2",1,"-2","Alle","-2","foerderung")/_xll.PALO.DATAC("jedoxtest/EU_PM_CUBE02","EUPM_Mittel2_Cube",Datenstand,"Alle Beteiligungen","Alle Koordinatoren","Alle Unternehmensgrößen","-2","Alle Organisationstypen",28,"Alle Expertevaluierungsstatus",$B11,"-2",-2,"-2","Alle","-2","foerderung"),"-  ")</f>
        <v>2.1946724151773584E-2</v>
      </c>
    </row>
    <row r="12" spans="2:23" ht="15" customHeight="1">
      <c r="B12" t="s">
        <v>144</v>
      </c>
      <c r="C12" s="361" t="str">
        <f ca="1">_xll.PALO.DATA("jedoxtest/EU_PM_CUBE02","#_Programme","Langbezeichnung",$B12)</f>
        <v>Global Challenges and European Industrial Competitiveness</v>
      </c>
      <c r="D12" s="206">
        <f ca="1">_xll.PALO.DATAC("jedoxtest/EU_PM_CUBE02","EUPM_Mittel2_Cube",Datenstand,"Alle Beteiligungen","Alle Koordinatoren","Alle Unternehmensgrößen","-2","Alle Organisationstypen",5,"Alle Expertevaluierungsstatus",$B12,"-2","-2","-2","Alle","-2","anzahl_beteiligungen")</f>
        <v>416456</v>
      </c>
      <c r="E12" s="206">
        <f ca="1">_xll.PALO.DATAC("jedoxtest/EU_PM_CUBE02","EUPM_Mittel2_Cube",Datenstand,"Alle Beteiligungen","Alle Koordinatoren","Alle Unternehmensgrößen","-2","Alle Organisationstypen",5,"Alle Expertevaluierungsstatus",$B12,"-2",1000001,"-2","Alle","-2","anzahl_beteiligungen")</f>
        <v>343210</v>
      </c>
      <c r="F12" s="206">
        <f ca="1">_xll.PALO.DATAC("jedoxtest/EU_PM_CUBE02","EUPM_Mittel2_Cube",Datenstand,"Alle Beteiligungen","Alle Koordinatoren","Alle Unternehmensgrößen","-2","Alle Organisationstypen",5,"Alle Expertevaluierungsstatus",$B12,"-2",1,"-2","Alle","-2","anzahl_beteiligungen")</f>
        <v>12205</v>
      </c>
      <c r="G12" s="323">
        <f ca="1">IFERROR(_xll.PALO.DATAC("jedoxtest/EU_PM_CUBE02","EUPM_Mittel2_Cube",Datenstand,"Alle Beteiligungen","Alle Koordinatoren","Alle Unternehmensgrößen","-2","Alle Organisationstypen",5,"Alle Expertevaluierungsstatus",$B12,"-2",1,"-2","Alle","-2","anzahl_beteiligungen")/_xll.PALO.DATAC("jedoxtest/EU_PM_CUBE02","EUPM_Mittel2_Cube",Datenstand,"Alle Beteiligungen","Alle Koordinatoren","Alle Unternehmensgrößen","-2","Alle Organisationstypen",5,"Alle Expertevaluierungsstatus",$B12,"-2",-2,"-2","Alle","-2","anzahl_beteiligungen"),"-  ")</f>
        <v>2.9306817526941621E-2</v>
      </c>
      <c r="H12" s="324">
        <f ca="1">_xll.PALO.DATAC("jedoxtest/EU_PM_CUBE02","EUPM_Mittel2_Cube",Datenstand,"Alle Beteiligungen","Alle Koordinatoren","Alle Unternehmensgrößen","-2","Alle Organisationstypen",28,"Alle Expertevaluierungsstatus",$B12,"-2","-2","-2","Alle","-2","anzahl_beteiligungen")</f>
        <v>81606</v>
      </c>
      <c r="I12" s="206">
        <f ca="1">_xll.PALO.DATAC("jedoxtest/EU_PM_CUBE02","EUPM_Mittel2_Cube",Datenstand,"Alle Beteiligungen","Alle Koordinatoren","Alle Unternehmensgrößen","-2","Alle Organisationstypen",28,"Alle Expertevaluierungsstatus",$B12,"-2",1000001,"-2","Alle","-2","anzahl_beteiligungen")</f>
        <v>68985</v>
      </c>
      <c r="J12" s="206">
        <f ca="1">_xll.PALO.DATAC("jedoxtest/EU_PM_CUBE02","EUPM_Mittel2_Cube",Datenstand,"Alle Beteiligungen","Alle Koordinatoren","Alle Unternehmensgrößen","-2","Alle Organisationstypen",28,"Alle Expertevaluierungsstatus",$B12,"-2",1,"-2","Alle","-2","anzahl_beteiligungen")</f>
        <v>2496</v>
      </c>
      <c r="K12" s="323">
        <f ca="1">IFERROR(_xll.PALO.DATAC("jedoxtest/EU_PM_CUBE02","EUPM_Mittel2_Cube",Datenstand,"Alle Beteiligungen","Alle Koordinatoren","Alle Unternehmensgrößen","-2","Alle Organisationstypen",28,"Alle Expertevaluierungsstatus",$B12,"-2",1,"-2","Alle","-2","anzahl_beteiligungen")/_xll.PALO.DATAC("jedoxtest/EU_PM_CUBE02","EUPM_Mittel2_Cube",Datenstand,"Alle Beteiligungen","Alle Koordinatoren","Alle Unternehmensgrößen","-2","Alle Organisationstypen",28,"Alle Expertevaluierungsstatus",$B12,"-2",-2,"-2","Alle","-2","anzahl_beteiligungen"),"-  ")</f>
        <v>3.058598632453496E-2</v>
      </c>
      <c r="L12" s="325">
        <f t="shared" ca="1" si="0"/>
        <v>0.19595347407649308</v>
      </c>
      <c r="M12" s="325">
        <f t="shared" ca="1" si="0"/>
        <v>0.20099938812971649</v>
      </c>
      <c r="N12" s="325">
        <f t="shared" ca="1" si="0"/>
        <v>0.20450634985661614</v>
      </c>
      <c r="O12" s="206">
        <f ca="1">_xll.PALO.DATAC("jedoxtest/EU_PM_CUBE02","EUPM_Mittel2_Cube",Datenstand,"Alle Beteiligungen","Alle Koordinatoren","Alle Unternehmensgrößen","-2","Alle Organisationstypen",28,"Alle Expertevaluierungsstatus",$B12,"-2","-2","-2","Alle","-2","anzahl_koordinatoren")</f>
        <v>4988</v>
      </c>
      <c r="P12" s="206">
        <f ca="1">_xll.PALO.DATAC("jedoxtest/EU_PM_CUBE02","EUPM_Mittel2_Cube",Datenstand,"Alle Beteiligungen","Alle Koordinatoren","Alle Unternehmensgrößen","-2","Alle Organisationstypen",28,"Alle Expertevaluierungsstatus",$B12,"-2",1000001,"-2","Alle","-2","anzahl_koordinatoren")</f>
        <v>4577</v>
      </c>
      <c r="Q12" s="206">
        <f ca="1">_xll.PALO.DATAC("jedoxtest/EU_PM_CUBE02","EUPM_Mittel2_Cube",Datenstand,"Alle Beteiligungen","Alle Koordinatoren","Alle Unternehmensgrößen","-2","Alle Organisationstypen",28,"Alle Expertevaluierungsstatus",$B12,"-2",1,"-2","Alle","-2","anzahl_koordinatoren")</f>
        <v>188</v>
      </c>
      <c r="R12" s="323">
        <f ca="1">IFERROR(_xll.PALO.DATAC("jedoxtest/EU_PM_CUBE02","EUPM_Mittel2_Cube",Datenstand,"Alle Beteiligungen","Alle Koordinatoren","Alle Unternehmensgrößen","-2","Alle Organisationstypen",28,"Alle Expertevaluierungsstatus",$B12,"-2",1,"-2","Alle","-2","anzahl_koordinatoren")/_xll.PALO.DATAC("jedoxtest/EU_PM_CUBE02","EUPM_Mittel2_Cube",Datenstand,"Alle Beteiligungen","Alle Koordinatoren","Alle Unternehmensgrößen","-2","Alle Organisationstypen",28,"Alle Expertevaluierungsstatus",$B12,"-2",-2,"-2","Alle","-2","anzahl_koordinatoren"),"-  ")</f>
        <v>3.7690457097032878E-2</v>
      </c>
      <c r="S12" s="326">
        <f ca="1">_xll.PALO.DATAC("jedoxtest/EU_PM_CUBE02","EUPM_Mittel2_Cube",Datenstand,"Alle Beteiligungen","Alle Koordinatoren","Alle Unternehmensgrößen","-2","Alle Organisationstypen",28,"Alle Expertevaluierungsstatus",$B12,"-2","-2","-2","Alle","-2","foerderung")/1000000</f>
        <v>33079.0634744204</v>
      </c>
      <c r="T12" s="326">
        <f ca="1">_xll.PALO.DATAC("jedoxtest/EU_PM_CUBE02","EUPM_Mittel2_Cube",Datenstand,"Alle Beteiligungen","Alle Koordinatoren","Alle Unternehmensgrößen","-2","Alle Organisationstypen",28,"Alle Expertevaluierungsstatus",$B12,"-2",1000001,"-2","Alle","-2","foerderung")/1000000</f>
        <v>29613.3276036801</v>
      </c>
      <c r="U12" s="326">
        <f ca="1">_xll.PALO.DATAC("jedoxtest/EU_PM_CUBE02","EUPM_Mittel2_Cube",Datenstand,"Alle Beteiligungen","Alle Koordinatoren","Alle Unternehmensgrößen","-2","Alle Organisationstypen",28,"Alle Expertevaluierungsstatus",$B12,"-2",1,"-2","Alle","-2","foerderung")/1000000</f>
        <v>1099.47630349</v>
      </c>
      <c r="V12" s="325">
        <f ca="1">IFERROR(_xll.PALO.DATAC("jedoxtest/EU_PM_CUBE02","EUPM_Mittel2_Cube",Datenstand,"Alle Beteiligungen","Alle Koordinatoren","Alle Unternehmensgrößen","-2","Alle Organisationstypen",28,"Alle Expertevaluierungsstatus",$B12,"-2",1,"-2","Alle","-2","foerderung")/_xll.PALO.DATAC("jedoxtest/EU_PM_CUBE02","EUPM_Mittel2_Cube",Datenstand,"Alle Beteiligungen","Alle Koordinatoren","Alle Unternehmensgrößen","-2","Alle Organisationstypen",28,"Alle Expertevaluierungsstatus",$B12,"-2",-2,"-2","Alle","-2","foerderung"),"-  ")</f>
        <v>3.3237830458537933E-2</v>
      </c>
    </row>
    <row r="13" spans="2:23" ht="15" customHeight="1">
      <c r="B13" t="s">
        <v>145</v>
      </c>
      <c r="C13" s="473" t="str">
        <f ca="1">_xll.PALO.DATA("jedoxtest/EU_PM_CUBE02","#_Programme","Langbezeichnung",$B13)</f>
        <v>Health</v>
      </c>
      <c r="D13" s="226">
        <f ca="1">_xll.PALO.DATAC("jedoxtest/EU_PM_CUBE02","EUPM_Mittel2_Cube",Datenstand,"Alle Beteiligungen","Alle Koordinatoren","Alle Unternehmensgrößen","-2","Alle Organisationstypen",5,"Alle Expertevaluierungsstatus",$B13,"-2","-2","-2","Alle","-2","anzahl_beteiligungen")</f>
        <v>50523</v>
      </c>
      <c r="E13" s="226">
        <f ca="1">_xll.PALO.DATAC("jedoxtest/EU_PM_CUBE02","EUPM_Mittel2_Cube",Datenstand,"Alle Beteiligungen","Alle Koordinatoren","Alle Unternehmensgrößen","-2","Alle Organisationstypen",5,"Alle Expertevaluierungsstatus",$B13,"-2",1000001,"-2","Alle","-2","anzahl_beteiligungen")</f>
        <v>39157</v>
      </c>
      <c r="F13" s="226">
        <f ca="1">_xll.PALO.DATAC("jedoxtest/EU_PM_CUBE02","EUPM_Mittel2_Cube",Datenstand,"Alle Beteiligungen","Alle Koordinatoren","Alle Unternehmensgrößen","-2","Alle Organisationstypen",5,"Alle Expertevaluierungsstatus",$B13,"-2",1,"-2","Alle","-2","anzahl_beteiligungen")</f>
        <v>1207</v>
      </c>
      <c r="G13" s="232">
        <f ca="1">IFERROR(_xll.PALO.DATAC("jedoxtest/EU_PM_CUBE02","EUPM_Mittel2_Cube",Datenstand,"Alle Beteiligungen","Alle Koordinatoren","Alle Unternehmensgrößen","-2","Alle Organisationstypen",5,"Alle Expertevaluierungsstatus",$B13,"-2",1,"-2","Alle","-2","anzahl_beteiligungen")/_xll.PALO.DATAC("jedoxtest/EU_PM_CUBE02","EUPM_Mittel2_Cube",Datenstand,"Alle Beteiligungen","Alle Koordinatoren","Alle Unternehmensgrößen","-2","Alle Organisationstypen",5,"Alle Expertevaluierungsstatus",$B13,"-2",-2,"-2","Alle","-2","anzahl_beteiligungen"),"-  ")</f>
        <v>2.3890109455099659E-2</v>
      </c>
      <c r="H13" s="234">
        <f ca="1">_xll.PALO.DATAC("jedoxtest/EU_PM_CUBE02","EUPM_Mittel2_Cube",Datenstand,"Alle Beteiligungen","Alle Koordinatoren","Alle Unternehmensgrößen","-2","Alle Organisationstypen",28,"Alle Expertevaluierungsstatus",$B13,"-2","-2","-2","Alle","-2","anzahl_beteiligungen")</f>
        <v>11624</v>
      </c>
      <c r="I13" s="226">
        <f ca="1">_xll.PALO.DATAC("jedoxtest/EU_PM_CUBE02","EUPM_Mittel2_Cube",Datenstand,"Alle Beteiligungen","Alle Koordinatoren","Alle Unternehmensgrößen","-2","Alle Organisationstypen",28,"Alle Expertevaluierungsstatus",$B13,"-2",1000001,"-2","Alle","-2","anzahl_beteiligungen")</f>
        <v>8888</v>
      </c>
      <c r="J13" s="226">
        <f ca="1">_xll.PALO.DATAC("jedoxtest/EU_PM_CUBE02","EUPM_Mittel2_Cube",Datenstand,"Alle Beteiligungen","Alle Koordinatoren","Alle Unternehmensgrößen","-2","Alle Organisationstypen",28,"Alle Expertevaluierungsstatus",$B13,"-2",1,"-2","Alle","-2","anzahl_beteiligungen")</f>
        <v>259</v>
      </c>
      <c r="K13" s="232">
        <f ca="1">IFERROR(_xll.PALO.DATAC("jedoxtest/EU_PM_CUBE02","EUPM_Mittel2_Cube",Datenstand,"Alle Beteiligungen","Alle Koordinatoren","Alle Unternehmensgrößen","-2","Alle Organisationstypen",28,"Alle Expertevaluierungsstatus",$B13,"-2",1,"-2","Alle","-2","anzahl_beteiligungen")/_xll.PALO.DATAC("jedoxtest/EU_PM_CUBE02","EUPM_Mittel2_Cube",Datenstand,"Alle Beteiligungen","Alle Koordinatoren","Alle Unternehmensgrößen","-2","Alle Organisationstypen",28,"Alle Expertevaluierungsstatus",$B13,"-2",-2,"-2","Alle","-2","anzahl_beteiligungen"),"-  ")</f>
        <v>2.2281486579490709E-2</v>
      </c>
      <c r="L13" s="227">
        <f t="shared" ca="1" si="0"/>
        <v>0.23007343190230192</v>
      </c>
      <c r="M13" s="227">
        <f t="shared" ca="1" si="0"/>
        <v>0.22698368107873432</v>
      </c>
      <c r="N13" s="227">
        <f t="shared" ca="1" si="0"/>
        <v>0.21458160729080364</v>
      </c>
      <c r="O13" s="226">
        <f ca="1">_xll.PALO.DATAC("jedoxtest/EU_PM_CUBE02","EUPM_Mittel2_Cube",Datenstand,"Alle Beteiligungen","Alle Koordinatoren","Alle Unternehmensgrößen","-2","Alle Organisationstypen",28,"Alle Expertevaluierungsstatus",$B13,"-2","-2","-2","Alle","-2","anzahl_koordinatoren")</f>
        <v>704</v>
      </c>
      <c r="P13" s="226">
        <f ca="1">_xll.PALO.DATAC("jedoxtest/EU_PM_CUBE02","EUPM_Mittel2_Cube",Datenstand,"Alle Beteiligungen","Alle Koordinatoren","Alle Unternehmensgrößen","-2","Alle Organisationstypen",28,"Alle Expertevaluierungsstatus",$B13,"-2",1000001,"-2","Alle","-2","anzahl_koordinatoren")</f>
        <v>623</v>
      </c>
      <c r="Q13" s="226">
        <f ca="1">_xll.PALO.DATAC("jedoxtest/EU_PM_CUBE02","EUPM_Mittel2_Cube",Datenstand,"Alle Beteiligungen","Alle Koordinatoren","Alle Unternehmensgrößen","-2","Alle Organisationstypen",28,"Alle Expertevaluierungsstatus",$B13,"-2",1,"-2","Alle","-2","anzahl_koordinatoren")</f>
        <v>17</v>
      </c>
      <c r="R13" s="232">
        <f ca="1">IFERROR(_xll.PALO.DATAC("jedoxtest/EU_PM_CUBE02","EUPM_Mittel2_Cube",Datenstand,"Alle Beteiligungen","Alle Koordinatoren","Alle Unternehmensgrößen","-2","Alle Organisationstypen",28,"Alle Expertevaluierungsstatus",$B13,"-2",1,"-2","Alle","-2","anzahl_koordinatoren")/_xll.PALO.DATAC("jedoxtest/EU_PM_CUBE02","EUPM_Mittel2_Cube",Datenstand,"Alle Beteiligungen","Alle Koordinatoren","Alle Unternehmensgrößen","-2","Alle Organisationstypen",28,"Alle Expertevaluierungsstatus",$B13,"-2",-2,"-2","Alle","-2","anzahl_koordinatoren"),"-  ")</f>
        <v>2.4147727272727272E-2</v>
      </c>
      <c r="S13" s="228">
        <f ca="1">_xll.PALO.DATAC("jedoxtest/EU_PM_CUBE02","EUPM_Mittel2_Cube",Datenstand,"Alle Beteiligungen","Alle Koordinatoren","Alle Unternehmensgrößen","-2","Alle Organisationstypen",28,"Alle Expertevaluierungsstatus",$B13,"-2","-2","-2","Alle","-2","foerderung")/1000000</f>
        <v>5761.3860900700201</v>
      </c>
      <c r="T13" s="228">
        <f ca="1">_xll.PALO.DATAC("jedoxtest/EU_PM_CUBE02","EUPM_Mittel2_Cube",Datenstand,"Alle Beteiligungen","Alle Koordinatoren","Alle Unternehmensgrößen","-2","Alle Organisationstypen",28,"Alle Expertevaluierungsstatus",$B13,"-2",1000001,"-2","Alle","-2","foerderung")/1000000</f>
        <v>4669.8465985900093</v>
      </c>
      <c r="U13" s="228">
        <f ca="1">_xll.PALO.DATAC("jedoxtest/EU_PM_CUBE02","EUPM_Mittel2_Cube",Datenstand,"Alle Beteiligungen","Alle Koordinatoren","Alle Unternehmensgrößen","-2","Alle Organisationstypen",28,"Alle Expertevaluierungsstatus",$B13,"-2",1,"-2","Alle","-2","foerderung")/1000000</f>
        <v>148.7108819</v>
      </c>
      <c r="V13" s="227">
        <f ca="1">IFERROR(_xll.PALO.DATAC("jedoxtest/EU_PM_CUBE02","EUPM_Mittel2_Cube",Datenstand,"Alle Beteiligungen","Alle Koordinatoren","Alle Unternehmensgrößen","-2","Alle Organisationstypen",28,"Alle Expertevaluierungsstatus",$B13,"-2",1,"-2","Alle","-2","foerderung")/_xll.PALO.DATAC("jedoxtest/EU_PM_CUBE02","EUPM_Mittel2_Cube",Datenstand,"Alle Beteiligungen","Alle Koordinatoren","Alle Unternehmensgrößen","-2","Alle Organisationstypen",28,"Alle Expertevaluierungsstatus",$B13,"-2",-2,"-2","Alle","-2","foerderung"),"-  ")</f>
        <v>2.5811650109043929E-2</v>
      </c>
    </row>
    <row r="14" spans="2:23" ht="15" customHeight="1">
      <c r="B14" t="s">
        <v>146</v>
      </c>
      <c r="C14" s="473"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Organisationstypen",5,"Alle Expertevaluierungsstatus",$B14,"-2","-2","-2","Alle","-2","anzahl_beteiligungen")</f>
        <v>40832</v>
      </c>
      <c r="E14" s="226">
        <f ca="1">_xll.PALO.DATAC("jedoxtest/EU_PM_CUBE02","EUPM_Mittel2_Cube",Datenstand,"Alle Beteiligungen","Alle Koordinatoren","Alle Unternehmensgrößen","-2","Alle Organisationstypen",5,"Alle Expertevaluierungsstatus",$B14,"-2",1000001,"-2","Alle","-2","anzahl_beteiligungen")</f>
        <v>33442</v>
      </c>
      <c r="F14" s="226">
        <f ca="1">_xll.PALO.DATAC("jedoxtest/EU_PM_CUBE02","EUPM_Mittel2_Cube",Datenstand,"Alle Beteiligungen","Alle Koordinatoren","Alle Unternehmensgrößen","-2","Alle Organisationstypen",5,"Alle Expertevaluierungsstatus",$B14,"-2",1,"-2","Alle","-2","anzahl_beteiligungen")</f>
        <v>1270</v>
      </c>
      <c r="G14" s="232">
        <f ca="1">IFERROR(_xll.PALO.DATAC("jedoxtest/EU_PM_CUBE02","EUPM_Mittel2_Cube",Datenstand,"Alle Beteiligungen","Alle Koordinatoren","Alle Unternehmensgrößen","-2","Alle Organisationstypen",5,"Alle Expertevaluierungsstatus",$B14,"-2",1,"-2","Alle","-2","anzahl_beteiligungen")/_xll.PALO.DATAC("jedoxtest/EU_PM_CUBE02","EUPM_Mittel2_Cube",Datenstand,"Alle Beteiligungen","Alle Koordinatoren","Alle Unternehmensgrößen","-2","Alle Organisationstypen",5,"Alle Expertevaluierungsstatus",$B14,"-2",-2,"-2","Alle","-2","anzahl_beteiligungen"),"-  ")</f>
        <v>3.1103056426332289E-2</v>
      </c>
      <c r="H14" s="234">
        <f ca="1">_xll.PALO.DATAC("jedoxtest/EU_PM_CUBE02","EUPM_Mittel2_Cube",Datenstand,"Alle Beteiligungen","Alle Koordinatoren","Alle Unternehmensgrößen","-2","Alle Organisationstypen",28,"Alle Expertevaluierungsstatus",$B14,"-2","-2","-2","Alle","-2","anzahl_beteiligungen")</f>
        <v>5325</v>
      </c>
      <c r="I14" s="226">
        <f ca="1">_xll.PALO.DATAC("jedoxtest/EU_PM_CUBE02","EUPM_Mittel2_Cube",Datenstand,"Alle Beteiligungen","Alle Koordinatoren","Alle Unternehmensgrößen","-2","Alle Organisationstypen",28,"Alle Expertevaluierungsstatus",$B14,"-2",1000001,"-2","Alle","-2","anzahl_beteiligungen")</f>
        <v>4510</v>
      </c>
      <c r="J14" s="226">
        <f ca="1">_xll.PALO.DATAC("jedoxtest/EU_PM_CUBE02","EUPM_Mittel2_Cube",Datenstand,"Alle Beteiligungen","Alle Koordinatoren","Alle Unternehmensgrößen","-2","Alle Organisationstypen",28,"Alle Expertevaluierungsstatus",$B14,"-2",1,"-2","Alle","-2","anzahl_beteiligungen")</f>
        <v>182</v>
      </c>
      <c r="K14" s="232">
        <f ca="1">IFERROR(_xll.PALO.DATAC("jedoxtest/EU_PM_CUBE02","EUPM_Mittel2_Cube",Datenstand,"Alle Beteiligungen","Alle Koordinatoren","Alle Unternehmensgrößen","-2","Alle Organisationstypen",28,"Alle Expertevaluierungsstatus",$B14,"-2",1,"-2","Alle","-2","anzahl_beteiligungen")/_xll.PALO.DATAC("jedoxtest/EU_PM_CUBE02","EUPM_Mittel2_Cube",Datenstand,"Alle Beteiligungen","Alle Koordinatoren","Alle Unternehmensgrößen","-2","Alle Organisationstypen",28,"Alle Expertevaluierungsstatus",$B14,"-2",-2,"-2","Alle","-2","anzahl_beteiligungen"),"-  ")</f>
        <v>3.4178403755868544E-2</v>
      </c>
      <c r="L14" s="227">
        <f t="shared" ca="1" si="0"/>
        <v>0.13041242163009403</v>
      </c>
      <c r="M14" s="227">
        <f t="shared" ca="1" si="0"/>
        <v>0.13486035524191137</v>
      </c>
      <c r="N14" s="227">
        <f t="shared" ca="1" si="0"/>
        <v>0.14330708661417324</v>
      </c>
      <c r="O14" s="226">
        <f ca="1">_xll.PALO.DATAC("jedoxtest/EU_PM_CUBE02","EUPM_Mittel2_Cube",Datenstand,"Alle Beteiligungen","Alle Koordinatoren","Alle Unternehmensgrößen","-2","Alle Organisationstypen",28,"Alle Expertevaluierungsstatus",$B14,"-2","-2","-2","Alle","-2","anzahl_koordinatoren")</f>
        <v>421</v>
      </c>
      <c r="P14" s="226">
        <f ca="1">_xll.PALO.DATAC("jedoxtest/EU_PM_CUBE02","EUPM_Mittel2_Cube",Datenstand,"Alle Beteiligungen","Alle Koordinatoren","Alle Unternehmensgrößen","-2","Alle Organisationstypen",28,"Alle Expertevaluierungsstatus",$B14,"-2",1000001,"-2","Alle","-2","anzahl_koordinatoren")</f>
        <v>386</v>
      </c>
      <c r="Q14" s="226">
        <f ca="1">_xll.PALO.DATAC("jedoxtest/EU_PM_CUBE02","EUPM_Mittel2_Cube",Datenstand,"Alle Beteiligungen","Alle Koordinatoren","Alle Unternehmensgrößen","-2","Alle Organisationstypen",28,"Alle Expertevaluierungsstatus",$B14,"-2",1,"-2","Alle","-2","anzahl_koordinatoren")</f>
        <v>22</v>
      </c>
      <c r="R14" s="232">
        <f ca="1">IFERROR(_xll.PALO.DATAC("jedoxtest/EU_PM_CUBE02","EUPM_Mittel2_Cube",Datenstand,"Alle Beteiligungen","Alle Koordinatoren","Alle Unternehmensgrößen","-2","Alle Organisationstypen",28,"Alle Expertevaluierungsstatus",$B14,"-2",1,"-2","Alle","-2","anzahl_koordinatoren")/_xll.PALO.DATAC("jedoxtest/EU_PM_CUBE02","EUPM_Mittel2_Cube",Datenstand,"Alle Beteiligungen","Alle Koordinatoren","Alle Unternehmensgrößen","-2","Alle Organisationstypen",28,"Alle Expertevaluierungsstatus",$B14,"-2",-2,"-2","Alle","-2","anzahl_koordinatoren"),"-  ")</f>
        <v>5.2256532066508314E-2</v>
      </c>
      <c r="S14" s="228">
        <f ca="1">_xll.PALO.DATAC("jedoxtest/EU_PM_CUBE02","EUPM_Mittel2_Cube",Datenstand,"Alle Beteiligungen","Alle Koordinatoren","Alle Unternehmensgrößen","-2","Alle Organisationstypen",28,"Alle Expertevaluierungsstatus",$B14,"-2","-2","-2","Alle","-2","foerderung")/1000000</f>
        <v>1434.5504329</v>
      </c>
      <c r="T14" s="228">
        <f ca="1">_xll.PALO.DATAC("jedoxtest/EU_PM_CUBE02","EUPM_Mittel2_Cube",Datenstand,"Alle Beteiligungen","Alle Koordinatoren","Alle Unternehmensgrößen","-2","Alle Organisationstypen",28,"Alle Expertevaluierungsstatus",$B14,"-2",1000001,"-2","Alle","-2","foerderung")/1000000</f>
        <v>1296.78713262</v>
      </c>
      <c r="U14" s="228">
        <f ca="1">_xll.PALO.DATAC("jedoxtest/EU_PM_CUBE02","EUPM_Mittel2_Cube",Datenstand,"Alle Beteiligungen","Alle Koordinatoren","Alle Unternehmensgrößen","-2","Alle Organisationstypen",28,"Alle Expertevaluierungsstatus",$B14,"-2",1,"-2","Alle","-2","foerderung")/1000000</f>
        <v>59.716684180000001</v>
      </c>
      <c r="V14" s="227">
        <f ca="1">IFERROR(_xll.PALO.DATAC("jedoxtest/EU_PM_CUBE02","EUPM_Mittel2_Cube",Datenstand,"Alle Beteiligungen","Alle Koordinatoren","Alle Unternehmensgrößen","-2","Alle Organisationstypen",28,"Alle Expertevaluierungsstatus",$B14,"-2",1,"-2","Alle","-2","foerderung")/_xll.PALO.DATAC("jedoxtest/EU_PM_CUBE02","EUPM_Mittel2_Cube",Datenstand,"Alle Beteiligungen","Alle Koordinatoren","Alle Unternehmensgrößen","-2","Alle Organisationstypen",28,"Alle Expertevaluierungsstatus",$B14,"-2",-2,"-2","Alle","-2","foerderung"),"-  ")</f>
        <v>4.1627455410738243E-2</v>
      </c>
    </row>
    <row r="15" spans="2:23" ht="15" customHeight="1">
      <c r="B15" t="s">
        <v>147</v>
      </c>
      <c r="C15" s="473" t="str">
        <f ca="1">_xll.PALO.DATA("jedoxtest/EU_PM_CUBE02","#_Programme","Langbezeichnung",$B15)</f>
        <v>Civil Security for Society</v>
      </c>
      <c r="D15" s="226">
        <f ca="1">_xll.PALO.DATAC("jedoxtest/EU_PM_CUBE02","EUPM_Mittel2_Cube",Datenstand,"Alle Beteiligungen","Alle Koordinatoren","Alle Unternehmensgrößen","-2","Alle Organisationstypen",5,"Alle Expertevaluierungsstatus",$B15,"-2","-2","-2","Alle","-2","anzahl_beteiligungen")</f>
        <v>33769</v>
      </c>
      <c r="E15" s="226">
        <f ca="1">_xll.PALO.DATAC("jedoxtest/EU_PM_CUBE02","EUPM_Mittel2_Cube",Datenstand,"Alle Beteiligungen","Alle Koordinatoren","Alle Unternehmensgrößen","-2","Alle Organisationstypen",5,"Alle Expertevaluierungsstatus",$B15,"-2",1000001,"-2","Alle","-2","anzahl_beteiligungen")</f>
        <v>28537</v>
      </c>
      <c r="F15" s="226">
        <f ca="1">_xll.PALO.DATAC("jedoxtest/EU_PM_CUBE02","EUPM_Mittel2_Cube",Datenstand,"Alle Beteiligungen","Alle Koordinatoren","Alle Unternehmensgrößen","-2","Alle Organisationstypen",5,"Alle Expertevaluierungsstatus",$B15,"-2",1,"-2","Alle","-2","anzahl_beteiligungen")</f>
        <v>954</v>
      </c>
      <c r="G15" s="232">
        <f ca="1">IFERROR(_xll.PALO.DATAC("jedoxtest/EU_PM_CUBE02","EUPM_Mittel2_Cube",Datenstand,"Alle Beteiligungen","Alle Koordinatoren","Alle Unternehmensgrößen","-2","Alle Organisationstypen",5,"Alle Expertevaluierungsstatus",$B15,"-2",1,"-2","Alle","-2","anzahl_beteiligungen")/_xll.PALO.DATAC("jedoxtest/EU_PM_CUBE02","EUPM_Mittel2_Cube",Datenstand,"Alle Beteiligungen","Alle Koordinatoren","Alle Unternehmensgrößen","-2","Alle Organisationstypen",5,"Alle Expertevaluierungsstatus",$B15,"-2",-2,"-2","Alle","-2","anzahl_beteiligungen"),"-  ")</f>
        <v>2.8250762533684741E-2</v>
      </c>
      <c r="H15" s="234">
        <f ca="1">_xll.PALO.DATAC("jedoxtest/EU_PM_CUBE02","EUPM_Mittel2_Cube",Datenstand,"Alle Beteiligungen","Alle Koordinatoren","Alle Unternehmensgrößen","-2","Alle Organisationstypen",28,"Alle Expertevaluierungsstatus",$B15,"-2","-2","-2","Alle","-2","anzahl_beteiligungen")</f>
        <v>3166</v>
      </c>
      <c r="I15" s="226">
        <f ca="1">_xll.PALO.DATAC("jedoxtest/EU_PM_CUBE02","EUPM_Mittel2_Cube",Datenstand,"Alle Beteiligungen","Alle Koordinatoren","Alle Unternehmensgrößen","-2","Alle Organisationstypen",28,"Alle Expertevaluierungsstatus",$B15,"-2",1000001,"-2","Alle","-2","anzahl_beteiligungen")</f>
        <v>2756</v>
      </c>
      <c r="J15" s="226">
        <f ca="1">_xll.PALO.DATAC("jedoxtest/EU_PM_CUBE02","EUPM_Mittel2_Cube",Datenstand,"Alle Beteiligungen","Alle Koordinatoren","Alle Unternehmensgrößen","-2","Alle Organisationstypen",28,"Alle Expertevaluierungsstatus",$B15,"-2",1,"-2","Alle","-2","anzahl_beteiligungen")</f>
        <v>88</v>
      </c>
      <c r="K15" s="232">
        <f ca="1">IFERROR(_xll.PALO.DATAC("jedoxtest/EU_PM_CUBE02","EUPM_Mittel2_Cube",Datenstand,"Alle Beteiligungen","Alle Koordinatoren","Alle Unternehmensgrößen","-2","Alle Organisationstypen",28,"Alle Expertevaluierungsstatus",$B15,"-2",1,"-2","Alle","-2","anzahl_beteiligungen")/_xll.PALO.DATAC("jedoxtest/EU_PM_CUBE02","EUPM_Mittel2_Cube",Datenstand,"Alle Beteiligungen","Alle Koordinatoren","Alle Unternehmensgrößen","-2","Alle Organisationstypen",28,"Alle Expertevaluierungsstatus",$B15,"-2",-2,"-2","Alle","-2","anzahl_beteiligungen"),"-  ")</f>
        <v>2.7795325331648767E-2</v>
      </c>
      <c r="L15" s="227">
        <f t="shared" ca="1" si="0"/>
        <v>9.3754627024786041E-2</v>
      </c>
      <c r="M15" s="227">
        <f t="shared" ca="1" si="0"/>
        <v>9.6576374531310225E-2</v>
      </c>
      <c r="N15" s="227">
        <f t="shared" ca="1" si="0"/>
        <v>9.2243186582809222E-2</v>
      </c>
      <c r="O15" s="226">
        <f ca="1">_xll.PALO.DATAC("jedoxtest/EU_PM_CUBE02","EUPM_Mittel2_Cube",Datenstand,"Alle Beteiligungen","Alle Koordinatoren","Alle Unternehmensgrößen","-2","Alle Organisationstypen",28,"Alle Expertevaluierungsstatus",$B15,"-2","-2","-2","Alle","-2","anzahl_koordinatoren")</f>
        <v>194</v>
      </c>
      <c r="P15" s="226">
        <f ca="1">_xll.PALO.DATAC("jedoxtest/EU_PM_CUBE02","EUPM_Mittel2_Cube",Datenstand,"Alle Beteiligungen","Alle Koordinatoren","Alle Unternehmensgrößen","-2","Alle Organisationstypen",28,"Alle Expertevaluierungsstatus",$B15,"-2",1000001,"-2","Alle","-2","anzahl_koordinatoren")</f>
        <v>187</v>
      </c>
      <c r="Q15" s="226">
        <f ca="1">_xll.PALO.DATAC("jedoxtest/EU_PM_CUBE02","EUPM_Mittel2_Cube",Datenstand,"Alle Beteiligungen","Alle Koordinatoren","Alle Unternehmensgrößen","-2","Alle Organisationstypen",28,"Alle Expertevaluierungsstatus",$B15,"-2",1,"-2","Alle","-2","anzahl_koordinatoren")</f>
        <v>7</v>
      </c>
      <c r="R15" s="232">
        <f ca="1">IFERROR(_xll.PALO.DATAC("jedoxtest/EU_PM_CUBE02","EUPM_Mittel2_Cube",Datenstand,"Alle Beteiligungen","Alle Koordinatoren","Alle Unternehmensgrößen","-2","Alle Organisationstypen",28,"Alle Expertevaluierungsstatus",$B15,"-2",1,"-2","Alle","-2","anzahl_koordinatoren")/_xll.PALO.DATAC("jedoxtest/EU_PM_CUBE02","EUPM_Mittel2_Cube",Datenstand,"Alle Beteiligungen","Alle Koordinatoren","Alle Unternehmensgrößen","-2","Alle Organisationstypen",28,"Alle Expertevaluierungsstatus",$B15,"-2",-2,"-2","Alle","-2","anzahl_koordinatoren"),"-  ")</f>
        <v>3.608247422680412E-2</v>
      </c>
      <c r="S15" s="228">
        <f ca="1">_xll.PALO.DATAC("jedoxtest/EU_PM_CUBE02","EUPM_Mittel2_Cube",Datenstand,"Alle Beteiligungen","Alle Koordinatoren","Alle Unternehmensgrößen","-2","Alle Organisationstypen",28,"Alle Expertevaluierungsstatus",$B15,"-2","-2","-2","Alle","-2","foerderung")/1000000</f>
        <v>819.85458451</v>
      </c>
      <c r="T15" s="228">
        <f ca="1">_xll.PALO.DATAC("jedoxtest/EU_PM_CUBE02","EUPM_Mittel2_Cube",Datenstand,"Alle Beteiligungen","Alle Koordinatoren","Alle Unternehmensgrößen","-2","Alle Organisationstypen",28,"Alle Expertevaluierungsstatus",$B15,"-2",1000001,"-2","Alle","-2","foerderung")/1000000</f>
        <v>770.40651939999998</v>
      </c>
      <c r="U15" s="228">
        <f ca="1">_xll.PALO.DATAC("jedoxtest/EU_PM_CUBE02","EUPM_Mittel2_Cube",Datenstand,"Alle Beteiligungen","Alle Koordinatoren","Alle Unternehmensgrößen","-2","Alle Organisationstypen",28,"Alle Expertevaluierungsstatus",$B15,"-2",1,"-2","Alle","-2","foerderung")/1000000</f>
        <v>30.921667230000001</v>
      </c>
      <c r="V15" s="227">
        <f ca="1">IFERROR(_xll.PALO.DATAC("jedoxtest/EU_PM_CUBE02","EUPM_Mittel2_Cube",Datenstand,"Alle Beteiligungen","Alle Koordinatoren","Alle Unternehmensgrößen","-2","Alle Organisationstypen",28,"Alle Expertevaluierungsstatus",$B15,"-2",1,"-2","Alle","-2","foerderung")/_xll.PALO.DATAC("jedoxtest/EU_PM_CUBE02","EUPM_Mittel2_Cube",Datenstand,"Alle Beteiligungen","Alle Koordinatoren","Alle Unternehmensgrößen","-2","Alle Organisationstypen",28,"Alle Expertevaluierungsstatus",$B15,"-2",-2,"-2","Alle","-2","foerderung"),"-  ")</f>
        <v>3.7716038690545177E-2</v>
      </c>
    </row>
    <row r="16" spans="2:23" ht="15" customHeight="1">
      <c r="B16" t="s">
        <v>148</v>
      </c>
      <c r="C16" s="473" t="str">
        <f ca="1">_xll.PALO.DATA("jedoxtest/EU_PM_CUBE02","#_Programme","Langbezeichnung",$B16)</f>
        <v>Digital, Industry and Space</v>
      </c>
      <c r="D16" s="226">
        <f ca="1">_xll.PALO.DATAC("jedoxtest/EU_PM_CUBE02","EUPM_Mittel2_Cube",Datenstand,"Alle Beteiligungen","Alle Koordinatoren","Alle Unternehmensgrößen","-2","Alle Organisationstypen",5,"Alle Expertevaluierungsstatus",$B16,"-2","-2","-2","Alle","-2","anzahl_beteiligungen")</f>
        <v>98504</v>
      </c>
      <c r="E16" s="226">
        <f ca="1">_xll.PALO.DATAC("jedoxtest/EU_PM_CUBE02","EUPM_Mittel2_Cube",Datenstand,"Alle Beteiligungen","Alle Koordinatoren","Alle Unternehmensgrößen","-2","Alle Organisationstypen",5,"Alle Expertevaluierungsstatus",$B16,"-2",1000001,"-2","Alle","-2","anzahl_beteiligungen")</f>
        <v>84016</v>
      </c>
      <c r="F16" s="226">
        <f ca="1">_xll.PALO.DATAC("jedoxtest/EU_PM_CUBE02","EUPM_Mittel2_Cube",Datenstand,"Alle Beteiligungen","Alle Koordinatoren","Alle Unternehmensgrößen","-2","Alle Organisationstypen",5,"Alle Expertevaluierungsstatus",$B16,"-2",1,"-2","Alle","-2","anzahl_beteiligungen")</f>
        <v>3490</v>
      </c>
      <c r="G16" s="232">
        <f ca="1">IFERROR(_xll.PALO.DATAC("jedoxtest/EU_PM_CUBE02","EUPM_Mittel2_Cube",Datenstand,"Alle Beteiligungen","Alle Koordinatoren","Alle Unternehmensgrößen","-2","Alle Organisationstypen",5,"Alle Expertevaluierungsstatus",$B16,"-2",1,"-2","Alle","-2","anzahl_beteiligungen")/_xll.PALO.DATAC("jedoxtest/EU_PM_CUBE02","EUPM_Mittel2_Cube",Datenstand,"Alle Beteiligungen","Alle Koordinatoren","Alle Unternehmensgrößen","-2","Alle Organisationstypen",5,"Alle Expertevaluierungsstatus",$B16,"-2",-2,"-2","Alle","-2","anzahl_beteiligungen"),"-  ")</f>
        <v>3.5430033298140179E-2</v>
      </c>
      <c r="H16" s="234">
        <f ca="1">_xll.PALO.DATAC("jedoxtest/EU_PM_CUBE02","EUPM_Mittel2_Cube",Datenstand,"Alle Beteiligungen","Alle Koordinatoren","Alle Unternehmensgrößen","-2","Alle Organisationstypen",28,"Alle Expertevaluierungsstatus",$B16,"-2","-2","-2","Alle","-2","anzahl_beteiligungen")</f>
        <v>19779</v>
      </c>
      <c r="I16" s="226">
        <f ca="1">_xll.PALO.DATAC("jedoxtest/EU_PM_CUBE02","EUPM_Mittel2_Cube",Datenstand,"Alle Beteiligungen","Alle Koordinatoren","Alle Unternehmensgrößen","-2","Alle Organisationstypen",28,"Alle Expertevaluierungsstatus",$B16,"-2",1000001,"-2","Alle","-2","anzahl_beteiligungen")</f>
        <v>17563</v>
      </c>
      <c r="J16" s="226">
        <f ca="1">_xll.PALO.DATAC("jedoxtest/EU_PM_CUBE02","EUPM_Mittel2_Cube",Datenstand,"Alle Beteiligungen","Alle Koordinatoren","Alle Unternehmensgrößen","-2","Alle Organisationstypen",28,"Alle Expertevaluierungsstatus",$B16,"-2",1,"-2","Alle","-2","anzahl_beteiligungen")</f>
        <v>745</v>
      </c>
      <c r="K16" s="232">
        <f ca="1">IFERROR(_xll.PALO.DATAC("jedoxtest/EU_PM_CUBE02","EUPM_Mittel2_Cube",Datenstand,"Alle Beteiligungen","Alle Koordinatoren","Alle Unternehmensgrößen","-2","Alle Organisationstypen",28,"Alle Expertevaluierungsstatus",$B16,"-2",1,"-2","Alle","-2","anzahl_beteiligungen")/_xll.PALO.DATAC("jedoxtest/EU_PM_CUBE02","EUPM_Mittel2_Cube",Datenstand,"Alle Beteiligungen","Alle Koordinatoren","Alle Unternehmensgrößen","-2","Alle Organisationstypen",28,"Alle Expertevaluierungsstatus",$B16,"-2",-2,"-2","Alle","-2","anzahl_beteiligungen"),"-  ")</f>
        <v>3.7666211638606603E-2</v>
      </c>
      <c r="L16" s="227">
        <f t="shared" ca="1" si="0"/>
        <v>0.20079387639080645</v>
      </c>
      <c r="M16" s="227">
        <f t="shared" ca="1" si="0"/>
        <v>0.20904351552085318</v>
      </c>
      <c r="N16" s="227">
        <f t="shared" ca="1" si="0"/>
        <v>0.21346704871060171</v>
      </c>
      <c r="O16" s="226">
        <f ca="1">_xll.PALO.DATAC("jedoxtest/EU_PM_CUBE02","EUPM_Mittel2_Cube",Datenstand,"Alle Beteiligungen","Alle Koordinatoren","Alle Unternehmensgrößen","-2","Alle Organisationstypen",28,"Alle Expertevaluierungsstatus",$B16,"-2","-2","-2","Alle","-2","anzahl_koordinatoren")</f>
        <v>1274</v>
      </c>
      <c r="P16" s="226">
        <f ca="1">_xll.PALO.DATAC("jedoxtest/EU_PM_CUBE02","EUPM_Mittel2_Cube",Datenstand,"Alle Beteiligungen","Alle Koordinatoren","Alle Unternehmensgrößen","-2","Alle Organisationstypen",28,"Alle Expertevaluierungsstatus",$B16,"-2",1000001,"-2","Alle","-2","anzahl_koordinatoren")</f>
        <v>1209</v>
      </c>
      <c r="Q16" s="226">
        <f ca="1">_xll.PALO.DATAC("jedoxtest/EU_PM_CUBE02","EUPM_Mittel2_Cube",Datenstand,"Alle Beteiligungen","Alle Koordinatoren","Alle Unternehmensgrößen","-2","Alle Organisationstypen",28,"Alle Expertevaluierungsstatus",$B16,"-2",1,"-2","Alle","-2","anzahl_koordinatoren")</f>
        <v>47</v>
      </c>
      <c r="R16" s="232">
        <f ca="1">IFERROR(_xll.PALO.DATAC("jedoxtest/EU_PM_CUBE02","EUPM_Mittel2_Cube",Datenstand,"Alle Beteiligungen","Alle Koordinatoren","Alle Unternehmensgrößen","-2","Alle Organisationstypen",28,"Alle Expertevaluierungsstatus",$B16,"-2",1,"-2","Alle","-2","anzahl_koordinatoren")/_xll.PALO.DATAC("jedoxtest/EU_PM_CUBE02","EUPM_Mittel2_Cube",Datenstand,"Alle Beteiligungen","Alle Koordinatoren","Alle Unternehmensgrößen","-2","Alle Organisationstypen",28,"Alle Expertevaluierungsstatus",$B16,"-2",-2,"-2","Alle","-2","anzahl_koordinatoren"),"-  ")</f>
        <v>3.6891679748822605E-2</v>
      </c>
      <c r="S16" s="228">
        <f ca="1">_xll.PALO.DATAC("jedoxtest/EU_PM_CUBE02","EUPM_Mittel2_Cube",Datenstand,"Alle Beteiligungen","Alle Koordinatoren","Alle Unternehmensgrößen","-2","Alle Organisationstypen",28,"Alle Expertevaluierungsstatus",$B16,"-2","-2","-2","Alle","-2","foerderung")/1000000</f>
        <v>9003.9758748000386</v>
      </c>
      <c r="T16" s="228">
        <f ca="1">_xll.PALO.DATAC("jedoxtest/EU_PM_CUBE02","EUPM_Mittel2_Cube",Datenstand,"Alle Beteiligungen","Alle Koordinatoren","Alle Unternehmensgrößen","-2","Alle Organisationstypen",28,"Alle Expertevaluierungsstatus",$B16,"-2",1000001,"-2","Alle","-2","foerderung")/1000000</f>
        <v>8494.7308211200507</v>
      </c>
      <c r="U16" s="228">
        <f ca="1">_xll.PALO.DATAC("jedoxtest/EU_PM_CUBE02","EUPM_Mittel2_Cube",Datenstand,"Alle Beteiligungen","Alle Koordinatoren","Alle Unternehmensgrößen","-2","Alle Organisationstypen",28,"Alle Expertevaluierungsstatus",$B16,"-2",1,"-2","Alle","-2","foerderung")/1000000</f>
        <v>324.81460499000002</v>
      </c>
      <c r="V16" s="227">
        <f ca="1">IFERROR(_xll.PALO.DATAC("jedoxtest/EU_PM_CUBE02","EUPM_Mittel2_Cube",Datenstand,"Alle Beteiligungen","Alle Koordinatoren","Alle Unternehmensgrößen","-2","Alle Organisationstypen",28,"Alle Expertevaluierungsstatus",$B16,"-2",1,"-2","Alle","-2","foerderung")/_xll.PALO.DATAC("jedoxtest/EU_PM_CUBE02","EUPM_Mittel2_Cube",Datenstand,"Alle Beteiligungen","Alle Koordinatoren","Alle Unternehmensgrößen","-2","Alle Organisationstypen",28,"Alle Expertevaluierungsstatus",$B16,"-2",-2,"-2","Alle","-2","foerderung"),"-  ")</f>
        <v>3.6074575221717094E-2</v>
      </c>
    </row>
    <row r="17" spans="1:23" ht="15" customHeight="1">
      <c r="B17" t="s">
        <v>149</v>
      </c>
      <c r="C17" s="473" t="str">
        <f ca="1">_xll.PALO.DATA("jedoxtest/EU_PM_CUBE02","#_Programme","Langbezeichnung",$B17)</f>
        <v>Climate, Energy and Mobility</v>
      </c>
      <c r="D17" s="226">
        <f ca="1">_xll.PALO.DATAC("jedoxtest/EU_PM_CUBE02","EUPM_Mittel2_Cube",Datenstand,"Alle Beteiligungen","Alle Koordinatoren","Alle Unternehmensgrößen","-2","Alle Organisationstypen",5,"Alle Expertevaluierungsstatus",$B17,"-2","-2","-2","Alle","-2","anzahl_beteiligungen")</f>
        <v>113873</v>
      </c>
      <c r="E17" s="226">
        <f ca="1">_xll.PALO.DATAC("jedoxtest/EU_PM_CUBE02","EUPM_Mittel2_Cube",Datenstand,"Alle Beteiligungen","Alle Koordinatoren","Alle Unternehmensgrößen","-2","Alle Organisationstypen",5,"Alle Expertevaluierungsstatus",$B17,"-2",1000001,"-2","Alle","-2","anzahl_beteiligungen")</f>
        <v>94103</v>
      </c>
      <c r="F17" s="226">
        <f ca="1">_xll.PALO.DATAC("jedoxtest/EU_PM_CUBE02","EUPM_Mittel2_Cube",Datenstand,"Alle Beteiligungen","Alle Koordinatoren","Alle Unternehmensgrößen","-2","Alle Organisationstypen",5,"Alle Expertevaluierungsstatus",$B17,"-2",1,"-2","Alle","-2","anzahl_beteiligungen")</f>
        <v>3530</v>
      </c>
      <c r="G17" s="232">
        <f ca="1">IFERROR(_xll.PALO.DATAC("jedoxtest/EU_PM_CUBE02","EUPM_Mittel2_Cube",Datenstand,"Alle Beteiligungen","Alle Koordinatoren","Alle Unternehmensgrößen","-2","Alle Organisationstypen",5,"Alle Expertevaluierungsstatus",$B17,"-2",1,"-2","Alle","-2","anzahl_beteiligungen")/_xll.PALO.DATAC("jedoxtest/EU_PM_CUBE02","EUPM_Mittel2_Cube",Datenstand,"Alle Beteiligungen","Alle Koordinatoren","Alle Unternehmensgrößen","-2","Alle Organisationstypen",5,"Alle Expertevaluierungsstatus",$B17,"-2",-2,"-2","Alle","-2","anzahl_beteiligungen"),"-  ")</f>
        <v>3.0999446752083461E-2</v>
      </c>
      <c r="H17" s="234">
        <f ca="1">_xll.PALO.DATAC("jedoxtest/EU_PM_CUBE02","EUPM_Mittel2_Cube",Datenstand,"Alle Beteiligungen","Alle Koordinatoren","Alle Unternehmensgrößen","-2","Alle Organisationstypen",28,"Alle Expertevaluierungsstatus",$B17,"-2","-2","-2","Alle","-2","anzahl_beteiligungen")</f>
        <v>23696</v>
      </c>
      <c r="I17" s="226">
        <f ca="1">_xll.PALO.DATAC("jedoxtest/EU_PM_CUBE02","EUPM_Mittel2_Cube",Datenstand,"Alle Beteiligungen","Alle Koordinatoren","Alle Unternehmensgrößen","-2","Alle Organisationstypen",28,"Alle Expertevaluierungsstatus",$B17,"-2",1000001,"-2","Alle","-2","anzahl_beteiligungen")</f>
        <v>20188</v>
      </c>
      <c r="J17" s="226">
        <f ca="1">_xll.PALO.DATAC("jedoxtest/EU_PM_CUBE02","EUPM_Mittel2_Cube",Datenstand,"Alle Beteiligungen","Alle Koordinatoren","Alle Unternehmensgrößen","-2","Alle Organisationstypen",28,"Alle Expertevaluierungsstatus",$B17,"-2",1,"-2","Alle","-2","anzahl_beteiligungen")</f>
        <v>783</v>
      </c>
      <c r="K17" s="232">
        <f ca="1">IFERROR(_xll.PALO.DATAC("jedoxtest/EU_PM_CUBE02","EUPM_Mittel2_Cube",Datenstand,"Alle Beteiligungen","Alle Koordinatoren","Alle Unternehmensgrößen","-2","Alle Organisationstypen",28,"Alle Expertevaluierungsstatus",$B17,"-2",1,"-2","Alle","-2","anzahl_beteiligungen")/_xll.PALO.DATAC("jedoxtest/EU_PM_CUBE02","EUPM_Mittel2_Cube",Datenstand,"Alle Beteiligungen","Alle Koordinatoren","Alle Unternehmensgrößen","-2","Alle Organisationstypen",28,"Alle Expertevaluierungsstatus",$B17,"-2",-2,"-2","Alle","-2","anzahl_beteiligungen"),"-  ")</f>
        <v>3.3043551654287642E-2</v>
      </c>
      <c r="L17" s="227">
        <f t="shared" ca="1" si="0"/>
        <v>0.20809147032220104</v>
      </c>
      <c r="M17" s="227">
        <f t="shared" ca="1" si="0"/>
        <v>0.21453088636919121</v>
      </c>
      <c r="N17" s="227">
        <f t="shared" ca="1" si="0"/>
        <v>0.22181303116147308</v>
      </c>
      <c r="O17" s="226">
        <f ca="1">_xll.PALO.DATAC("jedoxtest/EU_PM_CUBE02","EUPM_Mittel2_Cube",Datenstand,"Alle Beteiligungen","Alle Koordinatoren","Alle Unternehmensgrößen","-2","Alle Organisationstypen",28,"Alle Expertevaluierungsstatus",$B17,"-2","-2","-2","Alle","-2","anzahl_koordinatoren")</f>
        <v>1435</v>
      </c>
      <c r="P17" s="226">
        <f ca="1">_xll.PALO.DATAC("jedoxtest/EU_PM_CUBE02","EUPM_Mittel2_Cube",Datenstand,"Alle Beteiligungen","Alle Koordinatoren","Alle Unternehmensgrößen","-2","Alle Organisationstypen",28,"Alle Expertevaluierungsstatus",$B17,"-2",1000001,"-2","Alle","-2","anzahl_koordinatoren")</f>
        <v>1289</v>
      </c>
      <c r="Q17" s="226">
        <f ca="1">_xll.PALO.DATAC("jedoxtest/EU_PM_CUBE02","EUPM_Mittel2_Cube",Datenstand,"Alle Beteiligungen","Alle Koordinatoren","Alle Unternehmensgrößen","-2","Alle Organisationstypen",28,"Alle Expertevaluierungsstatus",$B17,"-2",1,"-2","Alle","-2","anzahl_koordinatoren")</f>
        <v>69</v>
      </c>
      <c r="R17" s="232">
        <f ca="1">IFERROR(_xll.PALO.DATAC("jedoxtest/EU_PM_CUBE02","EUPM_Mittel2_Cube",Datenstand,"Alle Beteiligungen","Alle Koordinatoren","Alle Unternehmensgrößen","-2","Alle Organisationstypen",28,"Alle Expertevaluierungsstatus",$B17,"-2",1,"-2","Alle","-2","anzahl_koordinatoren")/_xll.PALO.DATAC("jedoxtest/EU_PM_CUBE02","EUPM_Mittel2_Cube",Datenstand,"Alle Beteiligungen","Alle Koordinatoren","Alle Unternehmensgrößen","-2","Alle Organisationstypen",28,"Alle Expertevaluierungsstatus",$B17,"-2",-2,"-2","Alle","-2","anzahl_koordinatoren"),"-  ")</f>
        <v>4.808362369337979E-2</v>
      </c>
      <c r="S17" s="228">
        <f ca="1">_xll.PALO.DATAC("jedoxtest/EU_PM_CUBE02","EUPM_Mittel2_Cube",Datenstand,"Alle Beteiligungen","Alle Koordinatoren","Alle Unternehmensgrößen","-2","Alle Organisationstypen",28,"Alle Expertevaluierungsstatus",$B17,"-2","-2","-2","Alle","-2","foerderung")/1000000</f>
        <v>9987.6716099200312</v>
      </c>
      <c r="T17" s="228">
        <f ca="1">_xll.PALO.DATAC("jedoxtest/EU_PM_CUBE02","EUPM_Mittel2_Cube",Datenstand,"Alle Beteiligungen","Alle Koordinatoren","Alle Unternehmensgrößen","-2","Alle Organisationstypen",28,"Alle Expertevaluierungsstatus",$B17,"-2",1000001,"-2","Alle","-2","foerderung")/1000000</f>
        <v>8996.1652092600598</v>
      </c>
      <c r="U17" s="228">
        <f ca="1">_xll.PALO.DATAC("jedoxtest/EU_PM_CUBE02","EUPM_Mittel2_Cube",Datenstand,"Alle Beteiligungen","Alle Koordinatoren","Alle Unternehmensgrößen","-2","Alle Organisationstypen",28,"Alle Expertevaluierungsstatus",$B17,"-2",1,"-2","Alle","-2","foerderung")/1000000</f>
        <v>381.36133322000001</v>
      </c>
      <c r="V17" s="227">
        <f ca="1">IFERROR(_xll.PALO.DATAC("jedoxtest/EU_PM_CUBE02","EUPM_Mittel2_Cube",Datenstand,"Alle Beteiligungen","Alle Koordinatoren","Alle Unternehmensgrößen","-2","Alle Organisationstypen",28,"Alle Expertevaluierungsstatus",$B17,"-2",1,"-2","Alle","-2","foerderung")/_xll.PALO.DATAC("jedoxtest/EU_PM_CUBE02","EUPM_Mittel2_Cube",Datenstand,"Alle Beteiligungen","Alle Koordinatoren","Alle Unternehmensgrößen","-2","Alle Organisationstypen",28,"Alle Expertevaluierungsstatus",$B17,"-2",-2,"-2","Alle","-2","foerderung"),"-  ")</f>
        <v>3.8183207069125244E-2</v>
      </c>
    </row>
    <row r="18" spans="1:23" ht="32.25" customHeight="1">
      <c r="B18" t="s">
        <v>150</v>
      </c>
      <c r="C18" s="473"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Organisationstypen",5,"Alle Expertevaluierungsstatus",$B18,"-2","-2","-2","Alle","-2","anzahl_beteiligungen")</f>
        <v>78955</v>
      </c>
      <c r="E18" s="226">
        <f ca="1">_xll.PALO.DATAC("jedoxtest/EU_PM_CUBE02","EUPM_Mittel2_Cube",Datenstand,"Alle Beteiligungen","Alle Koordinatoren","Alle Unternehmensgrößen","-2","Alle Organisationstypen",5,"Alle Expertevaluierungsstatus",$B18,"-2",1000001,"-2","Alle","-2","anzahl_beteiligungen")</f>
        <v>63955</v>
      </c>
      <c r="F18" s="226">
        <f ca="1">_xll.PALO.DATAC("jedoxtest/EU_PM_CUBE02","EUPM_Mittel2_Cube",Datenstand,"Alle Beteiligungen","Alle Koordinatoren","Alle Unternehmensgrößen","-2","Alle Organisationstypen",5,"Alle Expertevaluierungsstatus",$B18,"-2",1,"-2","Alle","-2","anzahl_beteiligungen")</f>
        <v>1754</v>
      </c>
      <c r="G18" s="232">
        <f ca="1">IFERROR(_xll.PALO.DATAC("jedoxtest/EU_PM_CUBE02","EUPM_Mittel2_Cube",Datenstand,"Alle Beteiligungen","Alle Koordinatoren","Alle Unternehmensgrößen","-2","Alle Organisationstypen",5,"Alle Expertevaluierungsstatus",$B18,"-2",1,"-2","Alle","-2","anzahl_beteiligungen")/_xll.PALO.DATAC("jedoxtest/EU_PM_CUBE02","EUPM_Mittel2_Cube",Datenstand,"Alle Beteiligungen","Alle Koordinatoren","Alle Unternehmensgrößen","-2","Alle Organisationstypen",5,"Alle Expertevaluierungsstatus",$B18,"-2",-2,"-2","Alle","-2","anzahl_beteiligungen"),"-  ")</f>
        <v>2.2215185865366346E-2</v>
      </c>
      <c r="H18" s="234">
        <f ca="1">_xll.PALO.DATAC("jedoxtest/EU_PM_CUBE02","EUPM_Mittel2_Cube",Datenstand,"Alle Beteiligungen","Alle Koordinatoren","Alle Unternehmensgrößen","-2","Alle Organisationstypen",28,"Alle Expertevaluierungsstatus",$B18,"-2","-2","-2","Alle","-2","anzahl_beteiligungen")</f>
        <v>18016</v>
      </c>
      <c r="I18" s="226">
        <f ca="1">_xll.PALO.DATAC("jedoxtest/EU_PM_CUBE02","EUPM_Mittel2_Cube",Datenstand,"Alle Beteiligungen","Alle Koordinatoren","Alle Unternehmensgrößen","-2","Alle Organisationstypen",28,"Alle Expertevaluierungsstatus",$B18,"-2",1000001,"-2","Alle","-2","anzahl_beteiligungen")</f>
        <v>15080</v>
      </c>
      <c r="J18" s="226">
        <f ca="1">_xll.PALO.DATAC("jedoxtest/EU_PM_CUBE02","EUPM_Mittel2_Cube",Datenstand,"Alle Beteiligungen","Alle Koordinatoren","Alle Unternehmensgrößen","-2","Alle Organisationstypen",28,"Alle Expertevaluierungsstatus",$B18,"-2",1,"-2","Alle","-2","anzahl_beteiligungen")</f>
        <v>439</v>
      </c>
      <c r="K18" s="232">
        <f ca="1">IFERROR(_xll.PALO.DATAC("jedoxtest/EU_PM_CUBE02","EUPM_Mittel2_Cube",Datenstand,"Alle Beteiligungen","Alle Koordinatoren","Alle Unternehmensgrößen","-2","Alle Organisationstypen",28,"Alle Expertevaluierungsstatus",$B18,"-2",1,"-2","Alle","-2","anzahl_beteiligungen")/_xll.PALO.DATAC("jedoxtest/EU_PM_CUBE02","EUPM_Mittel2_Cube",Datenstand,"Alle Beteiligungen","Alle Koordinatoren","Alle Unternehmensgrößen","-2","Alle Organisationstypen",28,"Alle Expertevaluierungsstatus",$B18,"-2",-2,"-2","Alle","-2","anzahl_beteiligungen"),"-  ")</f>
        <v>2.4367229129662521E-2</v>
      </c>
      <c r="L18" s="227">
        <f t="shared" ca="1" si="0"/>
        <v>0.22818060920777658</v>
      </c>
      <c r="M18" s="227">
        <f t="shared" ca="1" si="0"/>
        <v>0.23579079039949966</v>
      </c>
      <c r="N18" s="227">
        <f t="shared" ca="1" si="0"/>
        <v>0.25028506271379702</v>
      </c>
      <c r="O18" s="226">
        <f ca="1">_xll.PALO.DATAC("jedoxtest/EU_PM_CUBE02","EUPM_Mittel2_Cube",Datenstand,"Alle Beteiligungen","Alle Koordinatoren","Alle Unternehmensgrößen","-2","Alle Organisationstypen",28,"Alle Expertevaluierungsstatus",$B18,"-2","-2","-2","Alle","-2","anzahl_koordinatoren")</f>
        <v>960</v>
      </c>
      <c r="P18" s="226">
        <f ca="1">_xll.PALO.DATAC("jedoxtest/EU_PM_CUBE02","EUPM_Mittel2_Cube",Datenstand,"Alle Beteiligungen","Alle Koordinatoren","Alle Unternehmensgrößen","-2","Alle Organisationstypen",28,"Alle Expertevaluierungsstatus",$B18,"-2",1000001,"-2","Alle","-2","anzahl_koordinatoren")</f>
        <v>883</v>
      </c>
      <c r="Q18" s="226">
        <f ca="1">_xll.PALO.DATAC("jedoxtest/EU_PM_CUBE02","EUPM_Mittel2_Cube",Datenstand,"Alle Beteiligungen","Alle Koordinatoren","Alle Unternehmensgrößen","-2","Alle Organisationstypen",28,"Alle Expertevaluierungsstatus",$B18,"-2",1,"-2","Alle","-2","anzahl_koordinatoren")</f>
        <v>26</v>
      </c>
      <c r="R18" s="232">
        <f ca="1">IFERROR(_xll.PALO.DATAC("jedoxtest/EU_PM_CUBE02","EUPM_Mittel2_Cube",Datenstand,"Alle Beteiligungen","Alle Koordinatoren","Alle Unternehmensgrößen","-2","Alle Organisationstypen",28,"Alle Expertevaluierungsstatus",$B18,"-2",1,"-2","Alle","-2","anzahl_koordinatoren")/_xll.PALO.DATAC("jedoxtest/EU_PM_CUBE02","EUPM_Mittel2_Cube",Datenstand,"Alle Beteiligungen","Alle Koordinatoren","Alle Unternehmensgrößen","-2","Alle Organisationstypen",28,"Alle Expertevaluierungsstatus",$B18,"-2",-2,"-2","Alle","-2","anzahl_koordinatoren"),"-  ")</f>
        <v>2.7083333333333334E-2</v>
      </c>
      <c r="S18" s="228">
        <f ca="1">_xll.PALO.DATAC("jedoxtest/EU_PM_CUBE02","EUPM_Mittel2_Cube",Datenstand,"Alle Beteiligungen","Alle Koordinatoren","Alle Unternehmensgrößen","-2","Alle Organisationstypen",28,"Alle Expertevaluierungsstatus",$B18,"-2","-2","-2","Alle","-2","foerderung")/1000000</f>
        <v>6071.6248822200405</v>
      </c>
      <c r="T18" s="228">
        <f ca="1">_xll.PALO.DATAC("jedoxtest/EU_PM_CUBE02","EUPM_Mittel2_Cube",Datenstand,"Alle Beteiligungen","Alle Koordinatoren","Alle Unternehmensgrößen","-2","Alle Organisationstypen",28,"Alle Expertevaluierungsstatus",$B18,"-2",1000001,"-2","Alle","-2","foerderung")/1000000</f>
        <v>5385.3913226900395</v>
      </c>
      <c r="U18" s="228">
        <f ca="1">_xll.PALO.DATAC("jedoxtest/EU_PM_CUBE02","EUPM_Mittel2_Cube",Datenstand,"Alle Beteiligungen","Alle Koordinatoren","Alle Unternehmensgrößen","-2","Alle Organisationstypen",28,"Alle Expertevaluierungsstatus",$B18,"-2",1,"-2","Alle","-2","foerderung")/1000000</f>
        <v>153.95113197000001</v>
      </c>
      <c r="V18" s="227">
        <f ca="1">IFERROR(_xll.PALO.DATAC("jedoxtest/EU_PM_CUBE02","EUPM_Mittel2_Cube",Datenstand,"Alle Beteiligungen","Alle Koordinatoren","Alle Unternehmensgrößen","-2","Alle Organisationstypen",28,"Alle Expertevaluierungsstatus",$B18,"-2",1,"-2","Alle","-2","foerderung")/_xll.PALO.DATAC("jedoxtest/EU_PM_CUBE02","EUPM_Mittel2_Cube",Datenstand,"Alle Beteiligungen","Alle Koordinatoren","Alle Unternehmensgrößen","-2","Alle Organisationstypen",28,"Alle Expertevaluierungsstatus",$B18,"-2",-2,"-2","Alle","-2","foerderung"),"-  ")</f>
        <v>2.5355837186323182E-2</v>
      </c>
    </row>
    <row r="19" spans="1:23" ht="15" customHeight="1">
      <c r="B19" t="s">
        <v>151</v>
      </c>
      <c r="C19" s="361" t="str">
        <f ca="1">_xll.PALO.DATA("jedoxtest/EU_PM_CUBE02","#_Programme","Langbezeichnung",$B19)</f>
        <v>Innovative Europe</v>
      </c>
      <c r="D19" s="206">
        <f ca="1">_xll.PALO.DATAC("jedoxtest/EU_PM_CUBE02","EUPM_Mittel2_Cube",Datenstand,"Alle Beteiligungen","Alle Koordinatoren","Alle Unternehmensgrößen","-2","Alle Organisationstypen",5,"Alle Expertevaluierungsstatus",$B19,"-2","-2","-2","Alle","-2","anzahl_beteiligungen")</f>
        <v>71288</v>
      </c>
      <c r="E19" s="206">
        <f ca="1">_xll.PALO.DATAC("jedoxtest/EU_PM_CUBE02","EUPM_Mittel2_Cube",Datenstand,"Alle Beteiligungen","Alle Koordinatoren","Alle Unternehmensgrößen","-2","Alle Organisationstypen",5,"Alle Expertevaluierungsstatus",$B19,"-2",1000001,"-2","Alle","-2","anzahl_beteiligungen")</f>
        <v>59051</v>
      </c>
      <c r="F19" s="206">
        <f ca="1">_xll.PALO.DATAC("jedoxtest/EU_PM_CUBE02","EUPM_Mittel2_Cube",Datenstand,"Alle Beteiligungen","Alle Koordinatoren","Alle Unternehmensgrößen","-2","Alle Organisationstypen",5,"Alle Expertevaluierungsstatus",$B19,"-2",1,"-2","Alle","-2","anzahl_beteiligungen")</f>
        <v>1854</v>
      </c>
      <c r="G19" s="323">
        <f ca="1">IFERROR(_xll.PALO.DATAC("jedoxtest/EU_PM_CUBE02","EUPM_Mittel2_Cube",Datenstand,"Alle Beteiligungen","Alle Koordinatoren","Alle Unternehmensgrößen","-2","Alle Organisationstypen",5,"Alle Expertevaluierungsstatus",$B19,"-2",1,"-2","Alle","-2","anzahl_beteiligungen")/_xll.PALO.DATAC("jedoxtest/EU_PM_CUBE02","EUPM_Mittel2_Cube",Datenstand,"Alle Beteiligungen","Alle Koordinatoren","Alle Unternehmensgrößen","-2","Alle Organisationstypen",5,"Alle Expertevaluierungsstatus",$B19,"-2",-2,"-2","Alle","-2","anzahl_beteiligungen"),"-  ")</f>
        <v>2.600718213444058E-2</v>
      </c>
      <c r="H19" s="324">
        <f ca="1">_xll.PALO.DATAC("jedoxtest/EU_PM_CUBE02","EUPM_Mittel2_Cube",Datenstand,"Alle Beteiligungen","Alle Koordinatoren","Alle Unternehmensgrößen","-2","Alle Organisationstypen",28,"Alle Expertevaluierungsstatus",$B19,"-2","-2","-2","Alle","-2","anzahl_beteiligungen")</f>
        <v>6979</v>
      </c>
      <c r="I19" s="206">
        <f ca="1">_xll.PALO.DATAC("jedoxtest/EU_PM_CUBE02","EUPM_Mittel2_Cube",Datenstand,"Alle Beteiligungen","Alle Koordinatoren","Alle Unternehmensgrößen","-2","Alle Organisationstypen",28,"Alle Expertevaluierungsstatus",$B19,"-2",1000001,"-2","Alle","-2","anzahl_beteiligungen")</f>
        <v>5921</v>
      </c>
      <c r="J19" s="206">
        <f ca="1">_xll.PALO.DATAC("jedoxtest/EU_PM_CUBE02","EUPM_Mittel2_Cube",Datenstand,"Alle Beteiligungen","Alle Koordinatoren","Alle Unternehmensgrößen","-2","Alle Organisationstypen",28,"Alle Expertevaluierungsstatus",$B19,"-2",1,"-2","Alle","-2","anzahl_beteiligungen")</f>
        <v>169</v>
      </c>
      <c r="K19" s="323">
        <f ca="1">IFERROR(_xll.PALO.DATAC("jedoxtest/EU_PM_CUBE02","EUPM_Mittel2_Cube",Datenstand,"Alle Beteiligungen","Alle Koordinatoren","Alle Unternehmensgrößen","-2","Alle Organisationstypen",28,"Alle Expertevaluierungsstatus",$B19,"-2",1,"-2","Alle","-2","anzahl_beteiligungen")/_xll.PALO.DATAC("jedoxtest/EU_PM_CUBE02","EUPM_Mittel2_Cube",Datenstand,"Alle Beteiligungen","Alle Koordinatoren","Alle Unternehmensgrößen","-2","Alle Organisationstypen",28,"Alle Expertevaluierungsstatus",$B19,"-2",-2,"-2","Alle","-2","anzahl_beteiligungen"),"-  ")</f>
        <v>2.4215503653818599E-2</v>
      </c>
      <c r="L19" s="325">
        <f t="shared" ca="1" si="0"/>
        <v>9.7898664571877458E-2</v>
      </c>
      <c r="M19" s="325">
        <f t="shared" ca="1" si="0"/>
        <v>0.100269258776312</v>
      </c>
      <c r="N19" s="325">
        <f t="shared" ca="1" si="0"/>
        <v>9.1154261057173683E-2</v>
      </c>
      <c r="O19" s="206">
        <f ca="1">_xll.PALO.DATAC("jedoxtest/EU_PM_CUBE02","EUPM_Mittel2_Cube",Datenstand,"Alle Beteiligungen","Alle Koordinatoren","Alle Unternehmensgrößen","-2","Alle Organisationstypen",28,"Alle Expertevaluierungsstatus",$B19,"-2","-2","-2","Alle","-2","anzahl_koordinatoren")</f>
        <v>2670</v>
      </c>
      <c r="P19" s="206">
        <f ca="1">_xll.PALO.DATAC("jedoxtest/EU_PM_CUBE02","EUPM_Mittel2_Cube",Datenstand,"Alle Beteiligungen","Alle Koordinatoren","Alle Unternehmensgrößen","-2","Alle Organisationstypen",28,"Alle Expertevaluierungsstatus",$B19,"-2",1000001,"-2","Alle","-2","anzahl_koordinatoren")</f>
        <v>2186</v>
      </c>
      <c r="Q19" s="206">
        <f ca="1">_xll.PALO.DATAC("jedoxtest/EU_PM_CUBE02","EUPM_Mittel2_Cube",Datenstand,"Alle Beteiligungen","Alle Koordinatoren","Alle Unternehmensgrößen","-2","Alle Organisationstypen",28,"Alle Expertevaluierungsstatus",$B19,"-2",1,"-2","Alle","-2","anzahl_koordinatoren")</f>
        <v>59</v>
      </c>
      <c r="R19" s="323">
        <f ca="1">IFERROR(_xll.PALO.DATAC("jedoxtest/EU_PM_CUBE02","EUPM_Mittel2_Cube",Datenstand,"Alle Beteiligungen","Alle Koordinatoren","Alle Unternehmensgrößen","-2","Alle Organisationstypen",28,"Alle Expertevaluierungsstatus",$B19,"-2",1,"-2","Alle","-2","anzahl_koordinatoren")/_xll.PALO.DATAC("jedoxtest/EU_PM_CUBE02","EUPM_Mittel2_Cube",Datenstand,"Alle Beteiligungen","Alle Koordinatoren","Alle Unternehmensgrößen","-2","Alle Organisationstypen",28,"Alle Expertevaluierungsstatus",$B19,"-2",-2,"-2","Alle","-2","anzahl_koordinatoren"),"-  ")</f>
        <v>2.2097378277153558E-2</v>
      </c>
      <c r="S19" s="326">
        <f ca="1">_xll.PALO.DATAC("jedoxtest/EU_PM_CUBE02","EUPM_Mittel2_Cube",Datenstand,"Alle Beteiligungen","Alle Koordinatoren","Alle Unternehmensgrößen","-2","Alle Organisationstypen",28,"Alle Expertevaluierungsstatus",$B19,"-2","-2","-2","Alle","-2","foerderung")/1000000</f>
        <v>6418.8010401500105</v>
      </c>
      <c r="T19" s="326">
        <f ca="1">_xll.PALO.DATAC("jedoxtest/EU_PM_CUBE02","EUPM_Mittel2_Cube",Datenstand,"Alle Beteiligungen","Alle Koordinatoren","Alle Unternehmensgrößen","-2","Alle Organisationstypen",28,"Alle Expertevaluierungsstatus",$B19,"-2",1000001,"-2","Alle","-2","foerderung")/1000000</f>
        <v>5957.5896870900096</v>
      </c>
      <c r="U19" s="326">
        <f ca="1">_xll.PALO.DATAC("jedoxtest/EU_PM_CUBE02","EUPM_Mittel2_Cube",Datenstand,"Alle Beteiligungen","Alle Koordinatoren","Alle Unternehmensgrößen","-2","Alle Organisationstypen",28,"Alle Expertevaluierungsstatus",$B19,"-2",1,"-2","Alle","-2","foerderung")/1000000</f>
        <v>120.36075111</v>
      </c>
      <c r="V19" s="325">
        <f ca="1">IFERROR(_xll.PALO.DATAC("jedoxtest/EU_PM_CUBE02","EUPM_Mittel2_Cube",Datenstand,"Alle Beteiligungen","Alle Koordinatoren","Alle Unternehmensgrößen","-2","Alle Organisationstypen",28,"Alle Expertevaluierungsstatus",$B19,"-2",1,"-2","Alle","-2","foerderung")/_xll.PALO.DATAC("jedoxtest/EU_PM_CUBE02","EUPM_Mittel2_Cube",Datenstand,"Alle Beteiligungen","Alle Koordinatoren","Alle Unternehmensgrößen","-2","Alle Organisationstypen",28,"Alle Expertevaluierungsstatus",$B19,"-2",-2,"-2","Alle","-2","foerderung"),"-  ")</f>
        <v>1.8751282421302019E-2</v>
      </c>
    </row>
    <row r="20" spans="1:23" ht="15" customHeight="1">
      <c r="B20" t="s">
        <v>152</v>
      </c>
      <c r="C20" s="473" t="str">
        <f ca="1">_xll.PALO.DATA("jedoxtest/EU_PM_CUBE02","#_Programme","Langbezeichnung",$B20)</f>
        <v>The European Innovation Council (EIC)</v>
      </c>
      <c r="D20" s="226">
        <f ca="1">_xll.PALO.DATAC("jedoxtest/EU_PM_CUBE02","EUPM_Mittel2_Cube",Datenstand,"Alle Beteiligungen","Alle Koordinatoren","Alle Unternehmensgrößen","-2","Alle Organisationstypen",5,"Alle Expertevaluierungsstatus",$B20,"-2","-2","-2","Alle","-2","anzahl_beteiligungen")</f>
        <v>64241</v>
      </c>
      <c r="E20" s="226">
        <f ca="1">_xll.PALO.DATAC("jedoxtest/EU_PM_CUBE02","EUPM_Mittel2_Cube",Datenstand,"Alle Beteiligungen","Alle Koordinatoren","Alle Unternehmensgrößen","-2","Alle Organisationstypen",5,"Alle Expertevaluierungsstatus",$B20,"-2",1000001,"-2","Alle","-2","anzahl_beteiligungen")</f>
        <v>53146</v>
      </c>
      <c r="F20" s="226">
        <f ca="1">_xll.PALO.DATAC("jedoxtest/EU_PM_CUBE02","EUPM_Mittel2_Cube",Datenstand,"Alle Beteiligungen","Alle Koordinatoren","Alle Unternehmensgrößen","-2","Alle Organisationstypen",5,"Alle Expertevaluierungsstatus",$B20,"-2",1,"-2","Alle","-2","anzahl_beteiligungen")</f>
        <v>1707</v>
      </c>
      <c r="G20" s="232">
        <f ca="1">IFERROR(_xll.PALO.DATAC("jedoxtest/EU_PM_CUBE02","EUPM_Mittel2_Cube",Datenstand,"Alle Beteiligungen","Alle Koordinatoren","Alle Unternehmensgrößen","-2","Alle Organisationstypen",5,"Alle Expertevaluierungsstatus",$B20,"-2",1,"-2","Alle","-2","anzahl_beteiligungen")/_xll.PALO.DATAC("jedoxtest/EU_PM_CUBE02","EUPM_Mittel2_Cube",Datenstand,"Alle Beteiligungen","Alle Koordinatoren","Alle Unternehmensgrößen","-2","Alle Organisationstypen",5,"Alle Expertevaluierungsstatus",$B20,"-2",-2,"-2","Alle","-2","anzahl_beteiligungen"),"-  ")</f>
        <v>2.6571815507230586E-2</v>
      </c>
      <c r="H20" s="234">
        <f ca="1">_xll.PALO.DATAC("jedoxtest/EU_PM_CUBE02","EUPM_Mittel2_Cube",Datenstand,"Alle Beteiligungen","Alle Koordinatoren","Alle Unternehmensgrößen","-2","Alle Organisationstypen",28,"Alle Expertevaluierungsstatus",$B20,"-2","-2","-2","Alle","-2","anzahl_beteiligungen")</f>
        <v>5553</v>
      </c>
      <c r="I20" s="226">
        <f ca="1">_xll.PALO.DATAC("jedoxtest/EU_PM_CUBE02","EUPM_Mittel2_Cube",Datenstand,"Alle Beteiligungen","Alle Koordinatoren","Alle Unternehmensgrößen","-2","Alle Organisationstypen",28,"Alle Expertevaluierungsstatus",$B20,"-2",1000001,"-2","Alle","-2","anzahl_beteiligungen")</f>
        <v>4632</v>
      </c>
      <c r="J20" s="226">
        <f ca="1">_xll.PALO.DATAC("jedoxtest/EU_PM_CUBE02","EUPM_Mittel2_Cube",Datenstand,"Alle Beteiligungen","Alle Koordinatoren","Alle Unternehmensgrößen","-2","Alle Organisationstypen",28,"Alle Expertevaluierungsstatus",$B20,"-2",1,"-2","Alle","-2","anzahl_beteiligungen")</f>
        <v>142</v>
      </c>
      <c r="K20" s="232">
        <f ca="1">IFERROR(_xll.PALO.DATAC("jedoxtest/EU_PM_CUBE02","EUPM_Mittel2_Cube",Datenstand,"Alle Beteiligungen","Alle Koordinatoren","Alle Unternehmensgrößen","-2","Alle Organisationstypen",28,"Alle Expertevaluierungsstatus",$B20,"-2",1,"-2","Alle","-2","anzahl_beteiligungen")/_xll.PALO.DATAC("jedoxtest/EU_PM_CUBE02","EUPM_Mittel2_Cube",Datenstand,"Alle Beteiligungen","Alle Koordinatoren","Alle Unternehmensgrößen","-2","Alle Organisationstypen",28,"Alle Expertevaluierungsstatus",$B20,"-2",-2,"-2","Alle","-2","anzahl_beteiligungen"),"-  ")</f>
        <v>2.5571763010985054E-2</v>
      </c>
      <c r="L20" s="227">
        <f t="shared" ca="1" si="0"/>
        <v>8.6440123908407399E-2</v>
      </c>
      <c r="M20" s="227">
        <f t="shared" ca="1" si="0"/>
        <v>8.7156135927445144E-2</v>
      </c>
      <c r="N20" s="227">
        <f t="shared" ca="1" si="0"/>
        <v>8.3186877562975978E-2</v>
      </c>
      <c r="O20" s="226">
        <f ca="1">_xll.PALO.DATAC("jedoxtest/EU_PM_CUBE02","EUPM_Mittel2_Cube",Datenstand,"Alle Beteiligungen","Alle Koordinatoren","Alle Unternehmensgrößen","-2","Alle Organisationstypen",28,"Alle Expertevaluierungsstatus",$B20,"-2","-2","-2","Alle","-2","anzahl_koordinatoren")</f>
        <v>2353</v>
      </c>
      <c r="P20" s="226">
        <f ca="1">_xll.PALO.DATAC("jedoxtest/EU_PM_CUBE02","EUPM_Mittel2_Cube",Datenstand,"Alle Beteiligungen","Alle Koordinatoren","Alle Unternehmensgrößen","-2","Alle Organisationstypen",28,"Alle Expertevaluierungsstatus",$B20,"-2",1000001,"-2","Alle","-2","anzahl_koordinatoren")</f>
        <v>1902</v>
      </c>
      <c r="Q20" s="226">
        <f ca="1">_xll.PALO.DATAC("jedoxtest/EU_PM_CUBE02","EUPM_Mittel2_Cube",Datenstand,"Alle Beteiligungen","Alle Koordinatoren","Alle Unternehmensgrößen","-2","Alle Organisationstypen",28,"Alle Expertevaluierungsstatus",$B20,"-2",1,"-2","Alle","-2","anzahl_koordinatoren")</f>
        <v>53</v>
      </c>
      <c r="R20" s="232">
        <f ca="1">IFERROR(_xll.PALO.DATAC("jedoxtest/EU_PM_CUBE02","EUPM_Mittel2_Cube",Datenstand,"Alle Beteiligungen","Alle Koordinatoren","Alle Unternehmensgrößen","-2","Alle Organisationstypen",28,"Alle Expertevaluierungsstatus",$B20,"-2",1,"-2","Alle","-2","anzahl_koordinatoren")/_xll.PALO.DATAC("jedoxtest/EU_PM_CUBE02","EUPM_Mittel2_Cube",Datenstand,"Alle Beteiligungen","Alle Koordinatoren","Alle Unternehmensgrößen","-2","Alle Organisationstypen",28,"Alle Expertevaluierungsstatus",$B20,"-2",-2,"-2","Alle","-2","anzahl_koordinatoren"),"-  ")</f>
        <v>2.2524436889077772E-2</v>
      </c>
      <c r="S20" s="228">
        <f ca="1">_xll.PALO.DATAC("jedoxtest/EU_PM_CUBE02","EUPM_Mittel2_Cube",Datenstand,"Alle Beteiligungen","Alle Koordinatoren","Alle Unternehmensgrößen","-2","Alle Organisationstypen",28,"Alle Expertevaluierungsstatus",$B20,"-2","-2","-2","Alle","-2","foerderung")/1000000</f>
        <v>4118.31582927001</v>
      </c>
      <c r="T20" s="228">
        <f ca="1">_xll.PALO.DATAC("jedoxtest/EU_PM_CUBE02","EUPM_Mittel2_Cube",Datenstand,"Alle Beteiligungen","Alle Koordinatoren","Alle Unternehmensgrößen","-2","Alle Organisationstypen",28,"Alle Expertevaluierungsstatus",$B20,"-2",1000001,"-2","Alle","-2","foerderung")/1000000</f>
        <v>3763.76083892</v>
      </c>
      <c r="U20" s="228">
        <f ca="1">_xll.PALO.DATAC("jedoxtest/EU_PM_CUBE02","EUPM_Mittel2_Cube",Datenstand,"Alle Beteiligungen","Alle Koordinatoren","Alle Unternehmensgrößen","-2","Alle Organisationstypen",28,"Alle Expertevaluierungsstatus",$B20,"-2",1,"-2","Alle","-2","foerderung")/1000000</f>
        <v>99.670759390000001</v>
      </c>
      <c r="V20" s="227">
        <f ca="1">IFERROR(_xll.PALO.DATAC("jedoxtest/EU_PM_CUBE02","EUPM_Mittel2_Cube",Datenstand,"Alle Beteiligungen","Alle Koordinatoren","Alle Unternehmensgrößen","-2","Alle Organisationstypen",28,"Alle Expertevaluierungsstatus",$B20,"-2",1,"-2","Alle","-2","foerderung")/_xll.PALO.DATAC("jedoxtest/EU_PM_CUBE02","EUPM_Mittel2_Cube",Datenstand,"Alle Beteiligungen","Alle Koordinatoren","Alle Unternehmensgrößen","-2","Alle Organisationstypen",28,"Alle Expertevaluierungsstatus",$B20,"-2",-2,"-2","Alle","-2","foerderung"),"-  ")</f>
        <v>2.4201825095980338E-2</v>
      </c>
    </row>
    <row r="21" spans="1:23" ht="15" customHeight="1">
      <c r="B21" t="s">
        <v>153</v>
      </c>
      <c r="C21" s="473" t="str">
        <f ca="1">_xll.PALO.DATA("jedoxtest/EU_PM_CUBE02","#_Programme","Langbezeichnung",$B21)</f>
        <v>European innovation ecosystems</v>
      </c>
      <c r="D21" s="226">
        <f ca="1">_xll.PALO.DATAC("jedoxtest/EU_PM_CUBE02","EUPM_Mittel2_Cube",Datenstand,"Alle Beteiligungen","Alle Koordinatoren","Alle Unternehmensgrößen","-2","Alle Organisationstypen",5,"Alle Expertevaluierungsstatus",$B21,"-2","-2","-2","Alle","-2","anzahl_beteiligungen")</f>
        <v>6726</v>
      </c>
      <c r="E21" s="226">
        <f ca="1">_xll.PALO.DATAC("jedoxtest/EU_PM_CUBE02","EUPM_Mittel2_Cube",Datenstand,"Alle Beteiligungen","Alle Koordinatoren","Alle Unternehmensgrößen","-2","Alle Organisationstypen",5,"Alle Expertevaluierungsstatus",$B21,"-2",1000001,"-2","Alle","-2","anzahl_beteiligungen")</f>
        <v>5604</v>
      </c>
      <c r="F21" s="226">
        <f ca="1">_xll.PALO.DATAC("jedoxtest/EU_PM_CUBE02","EUPM_Mittel2_Cube",Datenstand,"Alle Beteiligungen","Alle Koordinatoren","Alle Unternehmensgrößen","-2","Alle Organisationstypen",5,"Alle Expertevaluierungsstatus",$B21,"-2",1,"-2","Alle","-2","anzahl_beteiligungen")</f>
        <v>139</v>
      </c>
      <c r="G21" s="232">
        <f ca="1">IFERROR(_xll.PALO.DATAC("jedoxtest/EU_PM_CUBE02","EUPM_Mittel2_Cube",Datenstand,"Alle Beteiligungen","Alle Koordinatoren","Alle Unternehmensgrößen","-2","Alle Organisationstypen",5,"Alle Expertevaluierungsstatus",$B21,"-2",1,"-2","Alle","-2","anzahl_beteiligungen")/_xll.PALO.DATAC("jedoxtest/EU_PM_CUBE02","EUPM_Mittel2_Cube",Datenstand,"Alle Beteiligungen","Alle Koordinatoren","Alle Unternehmensgrößen","-2","Alle Organisationstypen",5,"Alle Expertevaluierungsstatus",$B21,"-2",-2,"-2","Alle","-2","anzahl_beteiligungen"),"-  ")</f>
        <v>2.0666071959559915E-2</v>
      </c>
      <c r="H21" s="234">
        <f ca="1">_xll.PALO.DATAC("jedoxtest/EU_PM_CUBE02","EUPM_Mittel2_Cube",Datenstand,"Alle Beteiligungen","Alle Koordinatoren","Alle Unternehmensgrößen","-2","Alle Organisationstypen",28,"Alle Expertevaluierungsstatus",$B21,"-2","-2","-2","Alle","-2","anzahl_beteiligungen")</f>
        <v>1124</v>
      </c>
      <c r="I21" s="226">
        <f ca="1">_xll.PALO.DATAC("jedoxtest/EU_PM_CUBE02","EUPM_Mittel2_Cube",Datenstand,"Alle Beteiligungen","Alle Koordinatoren","Alle Unternehmensgrößen","-2","Alle Organisationstypen",28,"Alle Expertevaluierungsstatus",$B21,"-2",1000001,"-2","Alle","-2","anzahl_beteiligungen")</f>
        <v>1006</v>
      </c>
      <c r="J21" s="226">
        <f ca="1">_xll.PALO.DATAC("jedoxtest/EU_PM_CUBE02","EUPM_Mittel2_Cube",Datenstand,"Alle Beteiligungen","Alle Koordinatoren","Alle Unternehmensgrößen","-2","Alle Organisationstypen",28,"Alle Expertevaluierungsstatus",$B21,"-2",1,"-2","Alle","-2","anzahl_beteiligungen")</f>
        <v>19</v>
      </c>
      <c r="K21" s="232">
        <f ca="1">IFERROR(_xll.PALO.DATAC("jedoxtest/EU_PM_CUBE02","EUPM_Mittel2_Cube",Datenstand,"Alle Beteiligungen","Alle Koordinatoren","Alle Unternehmensgrößen","-2","Alle Organisationstypen",28,"Alle Expertevaluierungsstatus",$B21,"-2",1,"-2","Alle","-2","anzahl_beteiligungen")/_xll.PALO.DATAC("jedoxtest/EU_PM_CUBE02","EUPM_Mittel2_Cube",Datenstand,"Alle Beteiligungen","Alle Koordinatoren","Alle Unternehmensgrößen","-2","Alle Organisationstypen",28,"Alle Expertevaluierungsstatus",$B21,"-2",-2,"-2","Alle","-2","anzahl_beteiligungen"),"-  ")</f>
        <v>1.6903914590747332E-2</v>
      </c>
      <c r="L21" s="227">
        <f t="shared" ca="1" si="0"/>
        <v>0.16711269699672912</v>
      </c>
      <c r="M21" s="227">
        <f t="shared" ca="1" si="0"/>
        <v>0.1795146324054247</v>
      </c>
      <c r="N21" s="227">
        <f t="shared" ca="1" si="0"/>
        <v>0.1366906474820144</v>
      </c>
      <c r="O21" s="226">
        <f ca="1">_xll.PALO.DATAC("jedoxtest/EU_PM_CUBE02","EUPM_Mittel2_Cube",Datenstand,"Alle Beteiligungen","Alle Koordinatoren","Alle Unternehmensgrößen","-2","Alle Organisationstypen",28,"Alle Expertevaluierungsstatus",$B21,"-2","-2","-2","Alle","-2","anzahl_koordinatoren")</f>
        <v>284</v>
      </c>
      <c r="P21" s="226">
        <f ca="1">_xll.PALO.DATAC("jedoxtest/EU_PM_CUBE02","EUPM_Mittel2_Cube",Datenstand,"Alle Beteiligungen","Alle Koordinatoren","Alle Unternehmensgrößen","-2","Alle Organisationstypen",28,"Alle Expertevaluierungsstatus",$B21,"-2",1000001,"-2","Alle","-2","anzahl_koordinatoren")</f>
        <v>251</v>
      </c>
      <c r="Q21" s="226">
        <f ca="1">_xll.PALO.DATAC("jedoxtest/EU_PM_CUBE02","EUPM_Mittel2_Cube",Datenstand,"Alle Beteiligungen","Alle Koordinatoren","Alle Unternehmensgrößen","-2","Alle Organisationstypen",28,"Alle Expertevaluierungsstatus",$B21,"-2",1,"-2","Alle","-2","anzahl_koordinatoren")</f>
        <v>6</v>
      </c>
      <c r="R21" s="232">
        <f ca="1">IFERROR(_xll.PALO.DATAC("jedoxtest/EU_PM_CUBE02","EUPM_Mittel2_Cube",Datenstand,"Alle Beteiligungen","Alle Koordinatoren","Alle Unternehmensgrößen","-2","Alle Organisationstypen",28,"Alle Expertevaluierungsstatus",$B21,"-2",1,"-2","Alle","-2","anzahl_koordinatoren")/_xll.PALO.DATAC("jedoxtest/EU_PM_CUBE02","EUPM_Mittel2_Cube",Datenstand,"Alle Beteiligungen","Alle Koordinatoren","Alle Unternehmensgrößen","-2","Alle Organisationstypen",28,"Alle Expertevaluierungsstatus",$B21,"-2",-2,"-2","Alle","-2","anzahl_koordinatoren"),"-  ")</f>
        <v>2.1126760563380281E-2</v>
      </c>
      <c r="S21" s="228">
        <f ca="1">_xll.PALO.DATAC("jedoxtest/EU_PM_CUBE02","EUPM_Mittel2_Cube",Datenstand,"Alle Beteiligungen","Alle Koordinatoren","Alle Unternehmensgrößen","-2","Alle Organisationstypen",28,"Alle Expertevaluierungsstatus",$B21,"-2","-2","-2","Alle","-2","foerderung")/1000000</f>
        <v>609.72870828999999</v>
      </c>
      <c r="T21" s="228">
        <f ca="1">_xll.PALO.DATAC("jedoxtest/EU_PM_CUBE02","EUPM_Mittel2_Cube",Datenstand,"Alle Beteiligungen","Alle Koordinatoren","Alle Unternehmensgrößen","-2","Alle Organisationstypen",28,"Alle Expertevaluierungsstatus",$B21,"-2",1000001,"-2","Alle","-2","foerderung")/1000000</f>
        <v>507.48817382999999</v>
      </c>
      <c r="U21" s="228">
        <f ca="1">_xll.PALO.DATAC("jedoxtest/EU_PM_CUBE02","EUPM_Mittel2_Cube",Datenstand,"Alle Beteiligungen","Alle Koordinatoren","Alle Unternehmensgrößen","-2","Alle Organisationstypen",28,"Alle Expertevaluierungsstatus",$B21,"-2",1,"-2","Alle","-2","foerderung")/1000000</f>
        <v>16.633048380000002</v>
      </c>
      <c r="V21" s="227">
        <f ca="1">IFERROR(_xll.PALO.DATAC("jedoxtest/EU_PM_CUBE02","EUPM_Mittel2_Cube",Datenstand,"Alle Beteiligungen","Alle Koordinatoren","Alle Unternehmensgrößen","-2","Alle Organisationstypen",28,"Alle Expertevaluierungsstatus",$B21,"-2",1,"-2","Alle","-2","foerderung")/_xll.PALO.DATAC("jedoxtest/EU_PM_CUBE02","EUPM_Mittel2_Cube",Datenstand,"Alle Beteiligungen","Alle Koordinatoren","Alle Unternehmensgrößen","-2","Alle Organisationstypen",28,"Alle Expertevaluierungsstatus",$B21,"-2",-2,"-2","Alle","-2","foerderung"),"-  ")</f>
        <v>2.7279424691430094E-2</v>
      </c>
    </row>
    <row r="22" spans="1:23" ht="15" customHeight="1">
      <c r="B22" t="s">
        <v>154</v>
      </c>
      <c r="C22" s="473"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Organisationstypen",5,"Alle Expertevaluierungsstatus",$B22,"-2","-2","-2","Alle","-2","anzahl_beteiligungen")</f>
        <v>321</v>
      </c>
      <c r="E22" s="226">
        <f ca="1">_xll.PALO.DATAC("jedoxtest/EU_PM_CUBE02","EUPM_Mittel2_Cube",Datenstand,"Alle Beteiligungen","Alle Koordinatoren","Alle Unternehmensgrößen","-2","Alle Organisationstypen",5,"Alle Expertevaluierungsstatus",$B22,"-2",1000001,"-2","Alle","-2","anzahl_beteiligungen")</f>
        <v>301</v>
      </c>
      <c r="F22" s="226">
        <f ca="1">_xll.PALO.DATAC("jedoxtest/EU_PM_CUBE02","EUPM_Mittel2_Cube",Datenstand,"Alle Beteiligungen","Alle Koordinatoren","Alle Unternehmensgrößen","-2","Alle Organisationstypen",5,"Alle Expertevaluierungsstatus",$B22,"-2",1,"-2","Alle","-2","anzahl_beteiligungen")</f>
        <v>8</v>
      </c>
      <c r="G22" s="232">
        <f ca="1">IFERROR(_xll.PALO.DATAC("jedoxtest/EU_PM_CUBE02","EUPM_Mittel2_Cube",Datenstand,"Alle Beteiligungen","Alle Koordinatoren","Alle Unternehmensgrößen","-2","Alle Organisationstypen",5,"Alle Expertevaluierungsstatus",$B22,"-2",1,"-2","Alle","-2","anzahl_beteiligungen")/_xll.PALO.DATAC("jedoxtest/EU_PM_CUBE02","EUPM_Mittel2_Cube",Datenstand,"Alle Beteiligungen","Alle Koordinatoren","Alle Unternehmensgrößen","-2","Alle Organisationstypen",5,"Alle Expertevaluierungsstatus",$B22,"-2",-2,"-2","Alle","-2","anzahl_beteiligungen"),"-  ")</f>
        <v>2.4922118380062305E-2</v>
      </c>
      <c r="H22" s="234">
        <f ca="1">_xll.PALO.DATAC("jedoxtest/EU_PM_CUBE02","EUPM_Mittel2_Cube",Datenstand,"Alle Beteiligungen","Alle Koordinatoren","Alle Unternehmensgrößen","-2","Alle Organisationstypen",28,"Alle Expertevaluierungsstatus",$B22,"-2","-2","-2","Alle","-2","anzahl_beteiligungen")</f>
        <v>302</v>
      </c>
      <c r="I22" s="226">
        <f ca="1">_xll.PALO.DATAC("jedoxtest/EU_PM_CUBE02","EUPM_Mittel2_Cube",Datenstand,"Alle Beteiligungen","Alle Koordinatoren","Alle Unternehmensgrößen","-2","Alle Organisationstypen",28,"Alle Expertevaluierungsstatus",$B22,"-2",1000001,"-2","Alle","-2","anzahl_beteiligungen")</f>
        <v>283</v>
      </c>
      <c r="J22" s="226">
        <f ca="1">_xll.PALO.DATAC("jedoxtest/EU_PM_CUBE02","EUPM_Mittel2_Cube",Datenstand,"Alle Beteiligungen","Alle Koordinatoren","Alle Unternehmensgrößen","-2","Alle Organisationstypen",28,"Alle Expertevaluierungsstatus",$B22,"-2",1,"-2","Alle","-2","anzahl_beteiligungen")</f>
        <v>8</v>
      </c>
      <c r="K22" s="232">
        <f ca="1">IFERROR(_xll.PALO.DATAC("jedoxtest/EU_PM_CUBE02","EUPM_Mittel2_Cube",Datenstand,"Alle Beteiligungen","Alle Koordinatoren","Alle Unternehmensgrößen","-2","Alle Organisationstypen",28,"Alle Expertevaluierungsstatus",$B22,"-2",1,"-2","Alle","-2","anzahl_beteiligungen")/_xll.PALO.DATAC("jedoxtest/EU_PM_CUBE02","EUPM_Mittel2_Cube",Datenstand,"Alle Beteiligungen","Alle Koordinatoren","Alle Unternehmensgrößen","-2","Alle Organisationstypen",28,"Alle Expertevaluierungsstatus",$B22,"-2",-2,"-2","Alle","-2","anzahl_beteiligungen"),"-  ")</f>
        <v>2.6490066225165563E-2</v>
      </c>
      <c r="L22" s="227">
        <f t="shared" ca="1" si="0"/>
        <v>0.94080996884735202</v>
      </c>
      <c r="M22" s="227">
        <f t="shared" ca="1" si="0"/>
        <v>0.94019933554817281</v>
      </c>
      <c r="N22" s="227">
        <f t="shared" ca="1" si="0"/>
        <v>1</v>
      </c>
      <c r="O22" s="226">
        <f ca="1">_xll.PALO.DATAC("jedoxtest/EU_PM_CUBE02","EUPM_Mittel2_Cube",Datenstand,"Alle Beteiligungen","Alle Koordinatoren","Alle Unternehmensgrößen","-2","Alle Organisationstypen",28,"Alle Expertevaluierungsstatus",$B22,"-2","-2","-2","Alle","-2","anzahl_koordinatoren")</f>
        <v>33</v>
      </c>
      <c r="P22" s="226">
        <f ca="1">_xll.PALO.DATAC("jedoxtest/EU_PM_CUBE02","EUPM_Mittel2_Cube",Datenstand,"Alle Beteiligungen","Alle Koordinatoren","Alle Unternehmensgrößen","-2","Alle Organisationstypen",28,"Alle Expertevaluierungsstatus",$B22,"-2",1000001,"-2","Alle","-2","anzahl_koordinatoren")</f>
        <v>33</v>
      </c>
      <c r="Q22" s="226">
        <f ca="1">_xll.PALO.DATAC("jedoxtest/EU_PM_CUBE02","EUPM_Mittel2_Cube",Datenstand,"Alle Beteiligungen","Alle Koordinatoren","Alle Unternehmensgrößen","-2","Alle Organisationstypen",28,"Alle Expertevaluierungsstatus",$B22,"-2",1,"-2","Alle","-2","anzahl_koordinatoren")</f>
        <v>0</v>
      </c>
      <c r="R22" s="232">
        <f ca="1">IFERROR(_xll.PALO.DATAC("jedoxtest/EU_PM_CUBE02","EUPM_Mittel2_Cube",Datenstand,"Alle Beteiligungen","Alle Koordinatoren","Alle Unternehmensgrößen","-2","Alle Organisationstypen",28,"Alle Expertevaluierungsstatus",$B22,"-2",1,"-2","Alle","-2","anzahl_koordinatoren")/_xll.PALO.DATAC("jedoxtest/EU_PM_CUBE02","EUPM_Mittel2_Cube",Datenstand,"Alle Beteiligungen","Alle Koordinatoren","Alle Unternehmensgrößen","-2","Alle Organisationstypen",28,"Alle Expertevaluierungsstatus",$B22,"-2",-2,"-2","Alle","-2","anzahl_koordinatoren"),"-  ")</f>
        <v>0</v>
      </c>
      <c r="S22" s="228">
        <f ca="1">_xll.PALO.DATAC("jedoxtest/EU_PM_CUBE02","EUPM_Mittel2_Cube",Datenstand,"Alle Beteiligungen","Alle Koordinatoren","Alle Unternehmensgrößen","-2","Alle Organisationstypen",28,"Alle Expertevaluierungsstatus",$B22,"-2","-2","-2","Alle","-2","foerderung")/1000000</f>
        <v>1690.7565025899999</v>
      </c>
      <c r="T22" s="228">
        <f ca="1">_xll.PALO.DATAC("jedoxtest/EU_PM_CUBE02","EUPM_Mittel2_Cube",Datenstand,"Alle Beteiligungen","Alle Koordinatoren","Alle Unternehmensgrößen","-2","Alle Organisationstypen",28,"Alle Expertevaluierungsstatus",$B22,"-2",1000001,"-2","Alle","-2","foerderung")/1000000</f>
        <v>1686.3406743399999</v>
      </c>
      <c r="U22" s="228">
        <f ca="1">_xll.PALO.DATAC("jedoxtest/EU_PM_CUBE02","EUPM_Mittel2_Cube",Datenstand,"Alle Beteiligungen","Alle Koordinatoren","Alle Unternehmensgrößen","-2","Alle Organisationstypen",28,"Alle Expertevaluierungsstatus",$B22,"-2",1,"-2","Alle","-2","foerderung")/1000000</f>
        <v>4.0569433400000001</v>
      </c>
      <c r="V22" s="227">
        <f ca="1">IFERROR(_xll.PALO.DATAC("jedoxtest/EU_PM_CUBE02","EUPM_Mittel2_Cube",Datenstand,"Alle Beteiligungen","Alle Koordinatoren","Alle Unternehmensgrößen","-2","Alle Organisationstypen",28,"Alle Expertevaluierungsstatus",$B22,"-2",1,"-2","Alle","-2","foerderung")/_xll.PALO.DATAC("jedoxtest/EU_PM_CUBE02","EUPM_Mittel2_Cube",Datenstand,"Alle Beteiligungen","Alle Koordinatoren","Alle Unternehmensgrößen","-2","Alle Organisationstypen",28,"Alle Expertevaluierungsstatus",$B22,"-2",-2,"-2","Alle","-2","foerderung"),"-  ")</f>
        <v>2.3994840970804113E-3</v>
      </c>
    </row>
    <row r="23" spans="1:23" ht="33" customHeight="1">
      <c r="B23" t="s">
        <v>155</v>
      </c>
      <c r="C23" s="361" t="str">
        <f ca="1">_xll.PALO.DATA("jedoxtest/EU_PM_CUBE02","#_Programme","Langbezeichnung",$B23)</f>
        <v>Widening Participation and Strengthening the European Research Area</v>
      </c>
      <c r="D23" s="206">
        <f ca="1">_xll.PALO.DATAC("jedoxtest/EU_PM_CUBE02","EUPM_Mittel2_Cube",Datenstand,"Alle Beteiligungen","Alle Koordinatoren","Alle Unternehmensgrößen","-2","Alle Organisationstypen",5,"Alle Expertevaluierungsstatus",$B23,"-2","-2","-2","Alle","-2","anzahl_beteiligungen")</f>
        <v>25362</v>
      </c>
      <c r="E23" s="206">
        <f ca="1">_xll.PALO.DATAC("jedoxtest/EU_PM_CUBE02","EUPM_Mittel2_Cube",Datenstand,"Alle Beteiligungen","Alle Koordinatoren","Alle Unternehmensgrößen","-2","Alle Organisationstypen",5,"Alle Expertevaluierungsstatus",$B23,"-2",1000001,"-2","Alle","-2","anzahl_beteiligungen")</f>
        <v>20494</v>
      </c>
      <c r="F23" s="206">
        <f ca="1">_xll.PALO.DATAC("jedoxtest/EU_PM_CUBE02","EUPM_Mittel2_Cube",Datenstand,"Alle Beteiligungen","Alle Koordinatoren","Alle Unternehmensgrößen","-2","Alle Organisationstypen",5,"Alle Expertevaluierungsstatus",$B23,"-2",1,"-2","Alle","-2","anzahl_beteiligungen")</f>
        <v>520</v>
      </c>
      <c r="G23" s="323">
        <f ca="1">IFERROR(_xll.PALO.DATAC("jedoxtest/EU_PM_CUBE02","EUPM_Mittel2_Cube",Datenstand,"Alle Beteiligungen","Alle Koordinatoren","Alle Unternehmensgrößen","-2","Alle Organisationstypen",5,"Alle Expertevaluierungsstatus",$B23,"-2",1,"-2","Alle","-2","anzahl_beteiligungen")/_xll.PALO.DATAC("jedoxtest/EU_PM_CUBE02","EUPM_Mittel2_Cube",Datenstand,"Alle Beteiligungen","Alle Koordinatoren","Alle Unternehmensgrößen","-2","Alle Organisationstypen",5,"Alle Expertevaluierungsstatus",$B23,"-2",-2,"-2","Alle","-2","anzahl_beteiligungen"),"-  ")</f>
        <v>2.0503114896301553E-2</v>
      </c>
      <c r="H23" s="324">
        <f ca="1">_xll.PALO.DATAC("jedoxtest/EU_PM_CUBE02","EUPM_Mittel2_Cube",Datenstand,"Alle Beteiligungen","Alle Koordinatoren","Alle Unternehmensgrößen","-2","Alle Organisationstypen",28,"Alle Expertevaluierungsstatus",$B23,"-2","-2","-2","Alle","-2","anzahl_beteiligungen")</f>
        <v>4850</v>
      </c>
      <c r="I23" s="206">
        <f ca="1">_xll.PALO.DATAC("jedoxtest/EU_PM_CUBE02","EUPM_Mittel2_Cube",Datenstand,"Alle Beteiligungen","Alle Koordinatoren","Alle Unternehmensgrößen","-2","Alle Organisationstypen",28,"Alle Expertevaluierungsstatus",$B23,"-2",1000001,"-2","Alle","-2","anzahl_beteiligungen")</f>
        <v>4034</v>
      </c>
      <c r="J23" s="206">
        <f ca="1">_xll.PALO.DATAC("jedoxtest/EU_PM_CUBE02","EUPM_Mittel2_Cube",Datenstand,"Alle Beteiligungen","Alle Koordinatoren","Alle Unternehmensgrößen","-2","Alle Organisationstypen",28,"Alle Expertevaluierungsstatus",$B23,"-2",1,"-2","Alle","-2","anzahl_beteiligungen")</f>
        <v>110</v>
      </c>
      <c r="K23" s="323">
        <f ca="1">IFERROR(_xll.PALO.DATAC("jedoxtest/EU_PM_CUBE02","EUPM_Mittel2_Cube",Datenstand,"Alle Beteiligungen","Alle Koordinatoren","Alle Unternehmensgrößen","-2","Alle Organisationstypen",28,"Alle Expertevaluierungsstatus",$B23,"-2",1,"-2","Alle","-2","anzahl_beteiligungen")/_xll.PALO.DATAC("jedoxtest/EU_PM_CUBE02","EUPM_Mittel2_Cube",Datenstand,"Alle Beteiligungen","Alle Koordinatoren","Alle Unternehmensgrößen","-2","Alle Organisationstypen",28,"Alle Expertevaluierungsstatus",$B23,"-2",-2,"-2","Alle","-2","anzahl_beteiligungen"),"-  ")</f>
        <v>2.268041237113402E-2</v>
      </c>
      <c r="L23" s="325">
        <f t="shared" ca="1" si="0"/>
        <v>0.19123097547512025</v>
      </c>
      <c r="M23" s="325">
        <f t="shared" ca="1" si="0"/>
        <v>0.19683809895579193</v>
      </c>
      <c r="N23" s="325">
        <f t="shared" ca="1" si="0"/>
        <v>0.21153846153846154</v>
      </c>
      <c r="O23" s="206">
        <f ca="1">_xll.PALO.DATAC("jedoxtest/EU_PM_CUBE02","EUPM_Mittel2_Cube",Datenstand,"Alle Beteiligungen","Alle Koordinatoren","Alle Unternehmensgrößen","-2","Alle Organisationstypen",28,"Alle Expertevaluierungsstatus",$B23,"-2","-2","-2","Alle","-2","anzahl_koordinatoren")</f>
        <v>1054</v>
      </c>
      <c r="P23" s="206">
        <f ca="1">_xll.PALO.DATAC("jedoxtest/EU_PM_CUBE02","EUPM_Mittel2_Cube",Datenstand,"Alle Beteiligungen","Alle Koordinatoren","Alle Unternehmensgrößen","-2","Alle Organisationstypen",28,"Alle Expertevaluierungsstatus",$B23,"-2",1000001,"-2","Alle","-2","anzahl_koordinatoren")</f>
        <v>920</v>
      </c>
      <c r="Q23" s="206">
        <f ca="1">_xll.PALO.DATAC("jedoxtest/EU_PM_CUBE02","EUPM_Mittel2_Cube",Datenstand,"Alle Beteiligungen","Alle Koordinatoren","Alle Unternehmensgrößen","-2","Alle Organisationstypen",28,"Alle Expertevaluierungsstatus",$B23,"-2",1,"-2","Alle","-2","anzahl_koordinatoren")</f>
        <v>18</v>
      </c>
      <c r="R23" s="323">
        <f ca="1">IFERROR(_xll.PALO.DATAC("jedoxtest/EU_PM_CUBE02","EUPM_Mittel2_Cube",Datenstand,"Alle Beteiligungen","Alle Koordinatoren","Alle Unternehmensgrößen","-2","Alle Organisationstypen",28,"Alle Expertevaluierungsstatus",$B23,"-2",1,"-2","Alle","-2","anzahl_koordinatoren")/_xll.PALO.DATAC("jedoxtest/EU_PM_CUBE02","EUPM_Mittel2_Cube",Datenstand,"Alle Beteiligungen","Alle Koordinatoren","Alle Unternehmensgrößen","-2","Alle Organisationstypen",28,"Alle Expertevaluierungsstatus",$B23,"-2",-2,"-2","Alle","-2","anzahl_koordinatoren"),"-  ")</f>
        <v>1.7077798861480076E-2</v>
      </c>
      <c r="S23" s="326">
        <f ca="1">_xll.PALO.DATAC("jedoxtest/EU_PM_CUBE02","EUPM_Mittel2_Cube",Datenstand,"Alle Beteiligungen","Alle Koordinatoren","Alle Unternehmensgrößen","-2","Alle Organisationstypen",28,"Alle Expertevaluierungsstatus",$B23,"-2","-2","-2","Alle","-2","foerderung")/1000000</f>
        <v>1889.13337032</v>
      </c>
      <c r="T23" s="326">
        <f ca="1">_xll.PALO.DATAC("jedoxtest/EU_PM_CUBE02","EUPM_Mittel2_Cube",Datenstand,"Alle Beteiligungen","Alle Koordinatoren","Alle Unternehmensgrößen","-2","Alle Organisationstypen",28,"Alle Expertevaluierungsstatus",$B23,"-2",1000001,"-2","Alle","-2","foerderung")/1000000</f>
        <v>1723.9713593499998</v>
      </c>
      <c r="U23" s="326">
        <f ca="1">_xll.PALO.DATAC("jedoxtest/EU_PM_CUBE02","EUPM_Mittel2_Cube",Datenstand,"Alle Beteiligungen","Alle Koordinatoren","Alle Unternehmensgrößen","-2","Alle Organisationstypen",28,"Alle Expertevaluierungsstatus",$B23,"-2",1,"-2","Alle","-2","foerderung")/1000000</f>
        <v>26.65581869</v>
      </c>
      <c r="V23" s="325">
        <f ca="1">IFERROR(_xll.PALO.DATAC("jedoxtest/EU_PM_CUBE02","EUPM_Mittel2_Cube",Datenstand,"Alle Beteiligungen","Alle Koordinatoren","Alle Unternehmensgrößen","-2","Alle Organisationstypen",28,"Alle Expertevaluierungsstatus",$B23,"-2",1,"-2","Alle","-2","foerderung")/_xll.PALO.DATAC("jedoxtest/EU_PM_CUBE02","EUPM_Mittel2_Cube",Datenstand,"Alle Beteiligungen","Alle Koordinatoren","Alle Unternehmensgrößen","-2","Alle Organisationstypen",28,"Alle Expertevaluierungsstatus",$B23,"-2",-2,"-2","Alle","-2","foerderung"),"-  ")</f>
        <v>1.4110077726002361E-2</v>
      </c>
    </row>
    <row r="24" spans="1:23" ht="31.5" customHeight="1">
      <c r="B24" t="s">
        <v>156</v>
      </c>
      <c r="C24" s="473"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Organisationstypen",5,"Alle Expertevaluierungsstatus",$B24,"-2","-2","-2","Alle","-2","anzahl_beteiligungen")</f>
        <v>20075</v>
      </c>
      <c r="E24" s="226">
        <f ca="1">_xll.PALO.DATAC("jedoxtest/EU_PM_CUBE02","EUPM_Mittel2_Cube",Datenstand,"Alle Beteiligungen","Alle Koordinatoren","Alle Unternehmensgrößen","-2","Alle Organisationstypen",5,"Alle Expertevaluierungsstatus",$B24,"-2",1000001,"-2","Alle","-2","anzahl_beteiligungen")</f>
        <v>16186</v>
      </c>
      <c r="F24" s="226">
        <f ca="1">_xll.PALO.DATAC("jedoxtest/EU_PM_CUBE02","EUPM_Mittel2_Cube",Datenstand,"Alle Beteiligungen","Alle Koordinatoren","Alle Unternehmensgrößen","-2","Alle Organisationstypen",5,"Alle Expertevaluierungsstatus",$B24,"-2",1,"-2","Alle","-2","anzahl_beteiligungen")</f>
        <v>364</v>
      </c>
      <c r="G24" s="232">
        <f ca="1">IFERROR(_xll.PALO.DATAC("jedoxtest/EU_PM_CUBE02","EUPM_Mittel2_Cube",Datenstand,"Alle Beteiligungen","Alle Koordinatoren","Alle Unternehmensgrößen","-2","Alle Organisationstypen",5,"Alle Expertevaluierungsstatus",$B24,"-2",1,"-2","Alle","-2","anzahl_beteiligungen")/_xll.PALO.DATAC("jedoxtest/EU_PM_CUBE02","EUPM_Mittel2_Cube",Datenstand,"Alle Beteiligungen","Alle Koordinatoren","Alle Unternehmensgrößen","-2","Alle Organisationstypen",5,"Alle Expertevaluierungsstatus",$B24,"-2",-2,"-2","Alle","-2","anzahl_beteiligungen"),"-  ")</f>
        <v>1.813200498132005E-2</v>
      </c>
      <c r="H24" s="234">
        <f ca="1">_xll.PALO.DATAC("jedoxtest/EU_PM_CUBE02","EUPM_Mittel2_Cube",Datenstand,"Alle Beteiligungen","Alle Koordinatoren","Alle Unternehmensgrößen","-2","Alle Organisationstypen",28,"Alle Expertevaluierungsstatus",$B24,"-2","-2","-2","Alle","-2","anzahl_beteiligungen")</f>
        <v>3226</v>
      </c>
      <c r="I24" s="226">
        <f ca="1">_xll.PALO.DATAC("jedoxtest/EU_PM_CUBE02","EUPM_Mittel2_Cube",Datenstand,"Alle Beteiligungen","Alle Koordinatoren","Alle Unternehmensgrößen","-2","Alle Organisationstypen",28,"Alle Expertevaluierungsstatus",$B24,"-2",1000001,"-2","Alle","-2","anzahl_beteiligungen")</f>
        <v>2693</v>
      </c>
      <c r="J24" s="226">
        <f ca="1">_xll.PALO.DATAC("jedoxtest/EU_PM_CUBE02","EUPM_Mittel2_Cube",Datenstand,"Alle Beteiligungen","Alle Koordinatoren","Alle Unternehmensgrößen","-2","Alle Organisationstypen",28,"Alle Expertevaluierungsstatus",$B24,"-2",1,"-2","Alle","-2","anzahl_beteiligungen")</f>
        <v>65</v>
      </c>
      <c r="K24" s="232">
        <f ca="1">IFERROR(_xll.PALO.DATAC("jedoxtest/EU_PM_CUBE02","EUPM_Mittel2_Cube",Datenstand,"Alle Beteiligungen","Alle Koordinatoren","Alle Unternehmensgrößen","-2","Alle Organisationstypen",28,"Alle Expertevaluierungsstatus",$B24,"-2",1,"-2","Alle","-2","anzahl_beteiligungen")/_xll.PALO.DATAC("jedoxtest/EU_PM_CUBE02","EUPM_Mittel2_Cube",Datenstand,"Alle Beteiligungen","Alle Koordinatoren","Alle Unternehmensgrößen","-2","Alle Organisationstypen",28,"Alle Expertevaluierungsstatus",$B24,"-2",-2,"-2","Alle","-2","anzahl_beteiligungen"),"-  ")</f>
        <v>2.0148791072535647E-2</v>
      </c>
      <c r="L24" s="227">
        <f t="shared" ca="1" si="0"/>
        <v>0.16069738480697385</v>
      </c>
      <c r="M24" s="227">
        <f t="shared" ca="1" si="0"/>
        <v>0.16637835166193007</v>
      </c>
      <c r="N24" s="227">
        <f t="shared" ca="1" si="0"/>
        <v>0.17857142857142858</v>
      </c>
      <c r="O24" s="226">
        <f ca="1">_xll.PALO.DATAC("jedoxtest/EU_PM_CUBE02","EUPM_Mittel2_Cube",Datenstand,"Alle Beteiligungen","Alle Koordinatoren","Alle Unternehmensgrößen","-2","Alle Organisationstypen",28,"Alle Expertevaluierungsstatus",$B24,"-2","-2","-2","Alle","-2","anzahl_koordinatoren")</f>
        <v>909</v>
      </c>
      <c r="P24" s="226">
        <f ca="1">_xll.PALO.DATAC("jedoxtest/EU_PM_CUBE02","EUPM_Mittel2_Cube",Datenstand,"Alle Beteiligungen","Alle Koordinatoren","Alle Unternehmensgrößen","-2","Alle Organisationstypen",28,"Alle Expertevaluierungsstatus",$B24,"-2",1000001,"-2","Alle","-2","anzahl_koordinatoren")</f>
        <v>786</v>
      </c>
      <c r="Q24" s="226">
        <f ca="1">_xll.PALO.DATAC("jedoxtest/EU_PM_CUBE02","EUPM_Mittel2_Cube",Datenstand,"Alle Beteiligungen","Alle Koordinatoren","Alle Unternehmensgrößen","-2","Alle Organisationstypen",28,"Alle Expertevaluierungsstatus",$B24,"-2",1,"-2","Alle","-2","anzahl_koordinatoren")</f>
        <v>13</v>
      </c>
      <c r="R24" s="232">
        <f ca="1">IFERROR(_xll.PALO.DATAC("jedoxtest/EU_PM_CUBE02","EUPM_Mittel2_Cube",Datenstand,"Alle Beteiligungen","Alle Koordinatoren","Alle Unternehmensgrößen","-2","Alle Organisationstypen",28,"Alle Expertevaluierungsstatus",$B24,"-2",1,"-2","Alle","-2","anzahl_koordinatoren")/_xll.PALO.DATAC("jedoxtest/EU_PM_CUBE02","EUPM_Mittel2_Cube",Datenstand,"Alle Beteiligungen","Alle Koordinatoren","Alle Unternehmensgrößen","-2","Alle Organisationstypen",28,"Alle Expertevaluierungsstatus",$B24,"-2",-2,"-2","Alle","-2","anzahl_koordinatoren"),"-  ")</f>
        <v>1.4301430143014302E-2</v>
      </c>
      <c r="S24" s="228">
        <f ca="1">_xll.PALO.DATAC("jedoxtest/EU_PM_CUBE02","EUPM_Mittel2_Cube",Datenstand,"Alle Beteiligungen","Alle Koordinatoren","Alle Unternehmensgrößen","-2","Alle Organisationstypen",28,"Alle Expertevaluierungsstatus",$B24,"-2","-2","-2","Alle","-2","foerderung")/1000000</f>
        <v>1602.97353051</v>
      </c>
      <c r="T24" s="228">
        <f ca="1">_xll.PALO.DATAC("jedoxtest/EU_PM_CUBE02","EUPM_Mittel2_Cube",Datenstand,"Alle Beteiligungen","Alle Koordinatoren","Alle Unternehmensgrößen","-2","Alle Organisationstypen",28,"Alle Expertevaluierungsstatus",$B24,"-2",1000001,"-2","Alle","-2","foerderung")/1000000</f>
        <v>1462.79859777</v>
      </c>
      <c r="U24" s="228">
        <f ca="1">_xll.PALO.DATAC("jedoxtest/EU_PM_CUBE02","EUPM_Mittel2_Cube",Datenstand,"Alle Beteiligungen","Alle Koordinatoren","Alle Unternehmensgrößen","-2","Alle Organisationstypen",28,"Alle Expertevaluierungsstatus",$B24,"-2",1,"-2","Alle","-2","foerderung")/1000000</f>
        <v>13.48491076</v>
      </c>
      <c r="V24" s="227">
        <f ca="1">IFERROR(_xll.PALO.DATAC("jedoxtest/EU_PM_CUBE02","EUPM_Mittel2_Cube",Datenstand,"Alle Beteiligungen","Alle Koordinatoren","Alle Unternehmensgrößen","-2","Alle Organisationstypen",28,"Alle Expertevaluierungsstatus",$B24,"-2",1,"-2","Alle","-2","foerderung")/_xll.PALO.DATAC("jedoxtest/EU_PM_CUBE02","EUPM_Mittel2_Cube",Datenstand,"Alle Beteiligungen","Alle Koordinatoren","Alle Unternehmensgrößen","-2","Alle Organisationstypen",28,"Alle Expertevaluierungsstatus",$B24,"-2",-2,"-2","Alle","-2","foerderung"),"-  ")</f>
        <v>8.4124350797668244E-3</v>
      </c>
    </row>
    <row r="25" spans="1:23" ht="31.5" customHeight="1">
      <c r="B25" t="s">
        <v>157</v>
      </c>
      <c r="C25" s="473"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Organisationstypen",5,"Alle Expertevaluierungsstatus",$B25,"-2","-2","-2","Alle","-2","anzahl_beteiligungen")</f>
        <v>5287</v>
      </c>
      <c r="E25" s="226">
        <f ca="1">_xll.PALO.DATAC("jedoxtest/EU_PM_CUBE02","EUPM_Mittel2_Cube",Datenstand,"Alle Beteiligungen","Alle Koordinatoren","Alle Unternehmensgrößen","-2","Alle Organisationstypen",5,"Alle Expertevaluierungsstatus",$B25,"-2",1000001,"-2","Alle","-2","anzahl_beteiligungen")</f>
        <v>4308</v>
      </c>
      <c r="F25" s="226">
        <f ca="1">_xll.PALO.DATAC("jedoxtest/EU_PM_CUBE02","EUPM_Mittel2_Cube",Datenstand,"Alle Beteiligungen","Alle Koordinatoren","Alle Unternehmensgrößen","-2","Alle Organisationstypen",5,"Alle Expertevaluierungsstatus",$B25,"-2",1,"-2","Alle","-2","anzahl_beteiligungen")</f>
        <v>156</v>
      </c>
      <c r="G25" s="232">
        <f ca="1">IFERROR(_xll.PALO.DATAC("jedoxtest/EU_PM_CUBE02","EUPM_Mittel2_Cube",Datenstand,"Alle Beteiligungen","Alle Koordinatoren","Alle Unternehmensgrößen","-2","Alle Organisationstypen",5,"Alle Expertevaluierungsstatus",$B25,"-2",1,"-2","Alle","-2","anzahl_beteiligungen")/_xll.PALO.DATAC("jedoxtest/EU_PM_CUBE02","EUPM_Mittel2_Cube",Datenstand,"Alle Beteiligungen","Alle Koordinatoren","Alle Unternehmensgrößen","-2","Alle Organisationstypen",5,"Alle Expertevaluierungsstatus",$B25,"-2",-2,"-2","Alle","-2","anzahl_beteiligungen"),"-  ")</f>
        <v>2.9506336296576507E-2</v>
      </c>
      <c r="H25" s="234">
        <f ca="1">_xll.PALO.DATAC("jedoxtest/EU_PM_CUBE02","EUPM_Mittel2_Cube",Datenstand,"Alle Beteiligungen","Alle Koordinatoren","Alle Unternehmensgrößen","-2","Alle Organisationstypen",28,"Alle Expertevaluierungsstatus",$B25,"-2","-2","-2","Alle","-2","anzahl_beteiligungen")</f>
        <v>1624</v>
      </c>
      <c r="I25" s="226">
        <f ca="1">_xll.PALO.DATAC("jedoxtest/EU_PM_CUBE02","EUPM_Mittel2_Cube",Datenstand,"Alle Beteiligungen","Alle Koordinatoren","Alle Unternehmensgrößen","-2","Alle Organisationstypen",28,"Alle Expertevaluierungsstatus",$B25,"-2",1000001,"-2","Alle","-2","anzahl_beteiligungen")</f>
        <v>1341</v>
      </c>
      <c r="J25" s="226">
        <f ca="1">_xll.PALO.DATAC("jedoxtest/EU_PM_CUBE02","EUPM_Mittel2_Cube",Datenstand,"Alle Beteiligungen","Alle Koordinatoren","Alle Unternehmensgrößen","-2","Alle Organisationstypen",28,"Alle Expertevaluierungsstatus",$B25,"-2",1,"-2","Alle","-2","anzahl_beteiligungen")</f>
        <v>45</v>
      </c>
      <c r="K25" s="232">
        <f ca="1">IFERROR(_xll.PALO.DATAC("jedoxtest/EU_PM_CUBE02","EUPM_Mittel2_Cube",Datenstand,"Alle Beteiligungen","Alle Koordinatoren","Alle Unternehmensgrößen","-2","Alle Organisationstypen",28,"Alle Expertevaluierungsstatus",$B25,"-2",1,"-2","Alle","-2","anzahl_beteiligungen")/_xll.PALO.DATAC("jedoxtest/EU_PM_CUBE02","EUPM_Mittel2_Cube",Datenstand,"Alle Beteiligungen","Alle Koordinatoren","Alle Unternehmensgrößen","-2","Alle Organisationstypen",28,"Alle Expertevaluierungsstatus",$B25,"-2",-2,"-2","Alle","-2","anzahl_beteiligungen"),"-  ")</f>
        <v>2.7709359605911331E-2</v>
      </c>
      <c r="L25" s="227">
        <f t="shared" ca="1" si="0"/>
        <v>0.30716852657461696</v>
      </c>
      <c r="M25" s="227">
        <f t="shared" ca="1" si="0"/>
        <v>0.31128133704735378</v>
      </c>
      <c r="N25" s="227">
        <f t="shared" ca="1" si="0"/>
        <v>0.28846153846153844</v>
      </c>
      <c r="O25" s="226">
        <f ca="1">_xll.PALO.DATAC("jedoxtest/EU_PM_CUBE02","EUPM_Mittel2_Cube",Datenstand,"Alle Beteiligungen","Alle Koordinatoren","Alle Unternehmensgrößen","-2","Alle Organisationstypen",28,"Alle Expertevaluierungsstatus",$B25,"-2","-2","-2","Alle","-2","anzahl_koordinatoren")</f>
        <v>145</v>
      </c>
      <c r="P25" s="226">
        <f ca="1">_xll.PALO.DATAC("jedoxtest/EU_PM_CUBE02","EUPM_Mittel2_Cube",Datenstand,"Alle Beteiligungen","Alle Koordinatoren","Alle Unternehmensgrößen","-2","Alle Organisationstypen",28,"Alle Expertevaluierungsstatus",$B25,"-2",1000001,"-2","Alle","-2","anzahl_koordinatoren")</f>
        <v>134</v>
      </c>
      <c r="Q25" s="226">
        <f ca="1">_xll.PALO.DATAC("jedoxtest/EU_PM_CUBE02","EUPM_Mittel2_Cube",Datenstand,"Alle Beteiligungen","Alle Koordinatoren","Alle Unternehmensgrößen","-2","Alle Organisationstypen",28,"Alle Expertevaluierungsstatus",$B25,"-2",1,"-2","Alle","-2","anzahl_koordinatoren")</f>
        <v>5</v>
      </c>
      <c r="R25" s="232">
        <f ca="1">IFERROR(_xll.PALO.DATAC("jedoxtest/EU_PM_CUBE02","EUPM_Mittel2_Cube",Datenstand,"Alle Beteiligungen","Alle Koordinatoren","Alle Unternehmensgrößen","-2","Alle Organisationstypen",28,"Alle Expertevaluierungsstatus",$B25,"-2",1,"-2","Alle","-2","anzahl_koordinatoren")/_xll.PALO.DATAC("jedoxtest/EU_PM_CUBE02","EUPM_Mittel2_Cube",Datenstand,"Alle Beteiligungen","Alle Koordinatoren","Alle Unternehmensgrößen","-2","Alle Organisationstypen",28,"Alle Expertevaluierungsstatus",$B25,"-2",-2,"-2","Alle","-2","anzahl_koordinatoren"),"-  ")</f>
        <v>3.4482758620689655E-2</v>
      </c>
      <c r="S25" s="228">
        <f ca="1">_xll.PALO.DATAC("jedoxtest/EU_PM_CUBE02","EUPM_Mittel2_Cube",Datenstand,"Alle Beteiligungen","Alle Koordinatoren","Alle Unternehmensgrößen","-2","Alle Organisationstypen",28,"Alle Expertevaluierungsstatus",$B25,"-2","-2","-2","Alle","-2","foerderung")/1000000</f>
        <v>286.15983980999999</v>
      </c>
      <c r="T25" s="228">
        <f ca="1">_xll.PALO.DATAC("jedoxtest/EU_PM_CUBE02","EUPM_Mittel2_Cube",Datenstand,"Alle Beteiligungen","Alle Koordinatoren","Alle Unternehmensgrößen","-2","Alle Organisationstypen",28,"Alle Expertevaluierungsstatus",$B25,"-2",1000001,"-2","Alle","-2","foerderung")/1000000</f>
        <v>261.17276157999999</v>
      </c>
      <c r="U25" s="228">
        <f ca="1">_xll.PALO.DATAC("jedoxtest/EU_PM_CUBE02","EUPM_Mittel2_Cube",Datenstand,"Alle Beteiligungen","Alle Koordinatoren","Alle Unternehmensgrößen","-2","Alle Organisationstypen",28,"Alle Expertevaluierungsstatus",$B25,"-2",1,"-2","Alle","-2","foerderung")/1000000</f>
        <v>13.17090793</v>
      </c>
      <c r="V25" s="227">
        <f ca="1">IFERROR(_xll.PALO.DATAC("jedoxtest/EU_PM_CUBE02","EUPM_Mittel2_Cube",Datenstand,"Alle Beteiligungen","Alle Koordinatoren","Alle Unternehmensgrößen","-2","Alle Organisationstypen",28,"Alle Expertevaluierungsstatus",$B25,"-2",1,"-2","Alle","-2","foerderung")/_xll.PALO.DATAC("jedoxtest/EU_PM_CUBE02","EUPM_Mittel2_Cube",Datenstand,"Alle Beteiligungen","Alle Koordinatoren","Alle Unternehmensgrößen","-2","Alle Organisationstypen",28,"Alle Expertevaluierungsstatus",$B25,"-2",-2,"-2","Alle","-2","foerderung"),"-  ")</f>
        <v>4.6026402372691483E-2</v>
      </c>
    </row>
    <row r="26" spans="1:23" ht="15" hidden="1" customHeight="1">
      <c r="B26" t="s">
        <v>158</v>
      </c>
      <c r="C26" s="369" t="str">
        <f ca="1">_xll.PALO.DATA("jedoxtest/EU_PM_CUBE02","#_Programme","Langbezeichnung",$B26)</f>
        <v>Euratom</v>
      </c>
      <c r="D26" s="363">
        <f ca="1">_xll.PALO.DATAC("jedoxtest/EU_PM_CUBE02","EUPM_Mittel2_Cube",Datenstand,"Alle Beteiligungen","Alle Koordinatoren","Alle Unternehmensgrößen","-2","Alle Organisationstypen",5,"Alle Expertevaluierungsstatus",$B26,"-2","-2","-2","Alle","-2","anzahl_beteiligungen")</f>
        <v>0</v>
      </c>
      <c r="E26" s="363">
        <f ca="1">_xll.PALO.DATAC("jedoxtest/EU_PM_CUBE02","EUPM_Mittel2_Cube",Datenstand,"Alle Beteiligungen","Alle Koordinatoren","Alle Unternehmensgrößen","-2","Alle Organisationstypen",5,"Alle Expertevaluierungsstatus",$B26,"-2",1000001,"-2","Alle","-2","anzahl_beteiligungen")</f>
        <v>0</v>
      </c>
      <c r="F26" s="363">
        <f ca="1">_xll.PALO.DATAC("jedoxtest/EU_PM_CUBE02","EUPM_Mittel2_Cube",Datenstand,"Alle Beteiligungen","Alle Koordinatoren","Alle Unternehmensgrößen","-2","Alle Organisationstypen",5,"Alle Expertevaluierungsstatus",$B26,"-2",1,"-2","Alle","-2","anzahl_beteiligungen")</f>
        <v>0</v>
      </c>
      <c r="G26" s="366" t="str">
        <f ca="1">IFERROR(_xll.PALO.DATAC("jedoxtest/EU_PM_CUBE02","EUPM_Mittel2_Cube",Datenstand,"Alle Beteiligungen","Alle Koordinatoren","Alle Unternehmensgrößen","-2","Alle Organisationstypen",5,"Alle Expertevaluierungsstatus",$B26,"-2",1,"-2","Alle","-2","anzahl_beteiligungen")/_xll.PALO.DATAC("jedoxtest/EU_PM_CUBE02","EUPM_Mittel2_Cube",Datenstand,"Alle Beteiligungen","Alle Koordinatoren","Alle Unternehmensgrößen","-2","Alle Organisationstypen",5,"Alle Expertevaluierungsstatus",$B26,"-2",-2,"-2","Alle","-2","anzahl_beteiligungen"),"-  ")</f>
        <v xml:space="preserve">-  </v>
      </c>
      <c r="H26" s="370">
        <f ca="1">_xll.PALO.DATAC("jedoxtest/EU_PM_CUBE02","EUPM_Mittel2_Cube",Datenstand,"Alle Beteiligungen","Alle Koordinatoren","Alle Unternehmensgrößen","-2","Alle Organisationstypen",28,"Alle Expertevaluierungsstatus",$B26,"-2","-2","-2","Alle","-2","anzahl_beteiligungen")</f>
        <v>0</v>
      </c>
      <c r="I26" s="363">
        <f ca="1">_xll.PALO.DATAC("jedoxtest/EU_PM_CUBE02","EUPM_Mittel2_Cube",Datenstand,"Alle Beteiligungen","Alle Koordinatoren","Alle Unternehmensgrößen","-2","Alle Organisationstypen",28,"Alle Expertevaluierungsstatus",$B26,"-2",1000001,"-2","Alle","-2","anzahl_beteiligungen")</f>
        <v>0</v>
      </c>
      <c r="J26" s="363">
        <f ca="1">_xll.PALO.DATAC("jedoxtest/EU_PM_CUBE02","EUPM_Mittel2_Cube",Datenstand,"Alle Beteiligungen","Alle Koordinatoren","Alle Unternehmensgrößen","-2","Alle Organisationstypen",28,"Alle Expertevaluierungsstatus",$B26,"-2",1,"-2","Alle","-2","anzahl_beteiligungen")</f>
        <v>0</v>
      </c>
      <c r="K26" s="366" t="str">
        <f ca="1">IFERROR(_xll.PALO.DATAC("jedoxtest/EU_PM_CUBE02","EUPM_Mittel2_Cube",Datenstand,"Alle Beteiligungen","Alle Koordinatoren","Alle Unternehmensgrößen","-2","Alle Organisationstypen",28,"Alle Expertevaluierungsstatus",$B26,"-2",1,"-2","Alle","-2","anzahl_beteiligungen")/_xll.PALO.DATAC("jedoxtest/EU_PM_CUBE02","EUPM_Mittel2_Cube",Datenstand,"Alle Beteiligungen","Alle Koordinatoren","Alle Unternehmensgrößen","-2","Alle Organisationstypen",28,"Alle Expertevaluierungsstatus",$B26,"-2",-2,"-2","Alle","-2","anzahl_beteiligungen"),"-  ")</f>
        <v xml:space="preserve">-  </v>
      </c>
      <c r="L26" s="365" t="str">
        <f t="shared" ca="1" si="0"/>
        <v xml:space="preserve">-   </v>
      </c>
      <c r="M26" s="365" t="str">
        <f t="shared" ca="1" si="0"/>
        <v xml:space="preserve">-   </v>
      </c>
      <c r="N26" s="365" t="str">
        <f t="shared" ca="1" si="0"/>
        <v xml:space="preserve">-   </v>
      </c>
      <c r="O26" s="363">
        <f ca="1">_xll.PALO.DATAC("jedoxtest/EU_PM_CUBE02","EUPM_Mittel2_Cube",Datenstand,"Alle Beteiligungen","Alle Koordinatoren","Alle Unternehmensgrößen","-2","Alle Organisationstypen",28,"Alle Expertevaluierungsstatus",$B26,"-2","-2","-2","Alle","-2","anzahl_koordinatoren")</f>
        <v>0</v>
      </c>
      <c r="P26" s="363">
        <f ca="1">_xll.PALO.DATAC("jedoxtest/EU_PM_CUBE02","EUPM_Mittel2_Cube",Datenstand,"Alle Beteiligungen","Alle Koordinatoren","Alle Unternehmensgrößen","-2","Alle Organisationstypen",28,"Alle Expertevaluierungsstatus",$B26,"-2",1000001,"-2","Alle","-2","anzahl_koordinatoren")</f>
        <v>0</v>
      </c>
      <c r="Q26" s="363">
        <f ca="1">_xll.PALO.DATAC("jedoxtest/EU_PM_CUBE02","EUPM_Mittel2_Cube",Datenstand,"Alle Beteiligungen","Alle Koordinatoren","Alle Unternehmensgrößen","-2","Alle Organisationstypen",28,"Alle Expertevaluierungsstatus",$B26,"-2",1,"-2","Alle","-2","anzahl_koordinatoren")</f>
        <v>0</v>
      </c>
      <c r="R26" s="366" t="str">
        <f ca="1">IFERROR(_xll.PALO.DATAC("jedoxtest/EU_PM_CUBE02","EUPM_Mittel2_Cube",Datenstand,"Alle Beteiligungen","Alle Koordinatoren","Alle Unternehmensgrößen","-2","Alle Organisationstypen",28,"Alle Expertevaluierungsstatus",$B26,"-2",1,"-2","Alle","-2","anzahl_koordinatoren")/_xll.PALO.DATAC("jedoxtest/EU_PM_CUBE02","EUPM_Mittel2_Cube",Datenstand,"Alle Beteiligungen","Alle Koordinatoren","Alle Unternehmensgrößen","-2","Alle Organisationstypen",28,"Alle Expertevaluierungsstatus",$B26,"-2",-2,"-2","Alle","-2","anzahl_koordinatoren"),"-  ")</f>
        <v xml:space="preserve">-  </v>
      </c>
      <c r="S26" s="367">
        <f ca="1">_xll.PALO.DATAC("jedoxtest/EU_PM_CUBE02","EUPM_Mittel2_Cube",Datenstand,"Alle Beteiligungen","Alle Koordinatoren","Alle Unternehmensgrößen","-2","Alle Organisationstypen",28,"Alle Expertevaluierungsstatus",$B26,"-2","-2","-2","Alle","-2","foerderung")/1000000</f>
        <v>0</v>
      </c>
      <c r="T26" s="367">
        <f ca="1">_xll.PALO.DATAC("jedoxtest/EU_PM_CUBE02","EUPM_Mittel2_Cube",Datenstand,"Alle Beteiligungen","Alle Koordinatoren","Alle Unternehmensgrößen","-2","Alle Organisationstypen",28,"Alle Expertevaluierungsstatus",$B26,"-2",1000001,"-2","Alle","-2","foerderung")/1000000</f>
        <v>0</v>
      </c>
      <c r="U26" s="367">
        <f ca="1">_xll.PALO.DATAC("jedoxtest/EU_PM_CUBE02","EUPM_Mittel2_Cube",Datenstand,"Alle Beteiligungen","Alle Koordinatoren","Alle Unternehmensgrößen","-2","Alle Organisationstypen",28,"Alle Expertevaluierungsstatus",$B26,"-2",1,"-2","Alle","-2","foerderung")/1000000</f>
        <v>0</v>
      </c>
      <c r="V26" s="365" t="str">
        <f ca="1">IFERROR(_xll.PALO.DATAC("jedoxtest/EU_PM_CUBE02","EUPM_Mittel2_Cube",Datenstand,"Alle Beteiligungen","Alle Koordinatoren","Alle Unternehmensgrößen","-2","Alle Organisationstypen",28,"Alle Expertevaluierungsstatus",$B26,"-2",1,"-2","Alle","-2","foerderung")/_xll.PALO.DATAC("jedoxtest/EU_PM_CUBE02","EUPM_Mittel2_Cube",Datenstand,"Alle Beteiligungen","Alle Koordinatoren","Alle Unternehmensgrößen","-2","Alle Organisationstypen",28,"Alle Expertevaluierungsstatus",$B26,"-2",-2,"-2","Alle","-2","foerderung"),"-  ")</f>
        <v xml:space="preserve">-  </v>
      </c>
    </row>
    <row r="27" spans="1:23" ht="15" customHeight="1">
      <c r="B27" s="223"/>
    </row>
    <row r="28" spans="1:23" ht="15" customHeight="1">
      <c r="C28" s="759" t="str">
        <f ca="1">"Quelle: EC "&amp;_xll.PALO.DATA("jedoxtest/EU_PM_CUBE02","#_Datenstand","reference_month",Datenstand)&amp;"/"&amp;_xll.PALO.DATA("jedoxtest/EU_PM_CUBE02","#_Datenstand","reference_year",Datenstand)&amp;"; Darstellung FFG"</f>
        <v>Quelle: EC 5/2026; Darstellung FFG</v>
      </c>
      <c r="D28" s="759"/>
      <c r="E28" s="759"/>
      <c r="F28" s="759"/>
      <c r="G28" s="759"/>
      <c r="H28" s="759"/>
      <c r="I28" s="759"/>
      <c r="J28" s="759"/>
      <c r="K28" s="759"/>
      <c r="L28" s="759"/>
      <c r="M28" s="759"/>
      <c r="N28" s="759"/>
      <c r="O28" s="759"/>
      <c r="P28" s="759"/>
      <c r="Q28" s="759"/>
      <c r="R28" s="759"/>
      <c r="S28" s="759"/>
      <c r="T28" s="759"/>
      <c r="U28" s="759"/>
      <c r="V28" s="759"/>
      <c r="W28" s="759"/>
    </row>
    <row r="29" spans="1:23" ht="15" customHeight="1">
      <c r="S29" s="313"/>
      <c r="T29" s="313"/>
      <c r="U29" s="313"/>
      <c r="V29" s="313"/>
    </row>
    <row r="30" spans="1:23" ht="15" customHeight="1"/>
    <row r="32" spans="1:23" ht="15" hidden="1" customHeight="1">
      <c r="A32" s="352" t="b">
        <f ca="1">_xll.PALO.HIDEROW(ISBLANK($A$1))</f>
        <v>1</v>
      </c>
      <c r="B32" s="352" t="s">
        <v>191</v>
      </c>
      <c r="C32" s="352" t="str">
        <f ca="1">_xll.PALO.ENAME("jedoxtest/EU_PM_CUBE02","Datenstand",3)</f>
        <v>117</v>
      </c>
    </row>
  </sheetData>
  <mergeCells count="7">
    <mergeCell ref="C2:W2"/>
    <mergeCell ref="L4:N4"/>
    <mergeCell ref="C28:W28"/>
    <mergeCell ref="S4:V4"/>
    <mergeCell ref="O4:R4"/>
    <mergeCell ref="D4:G4"/>
    <mergeCell ref="H4:K4"/>
  </mergeCells>
  <pageMargins left="0.70866141732283472" right="0.70866141732283472" top="0.74803149606299213" bottom="0.74803149606299213" header="0.31496062992125984" footer="0.31496062992125984"/>
  <pageSetup paperSize="9" scale="77"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45">
    <tabColor rgb="FF92D050"/>
    <pageSetUpPr fitToPage="1"/>
  </sheetPr>
  <dimension ref="A1:M32"/>
  <sheetViews>
    <sheetView zoomScaleNormal="100" workbookViewId="0"/>
  </sheetViews>
  <sheetFormatPr baseColWidth="10" defaultColWidth="11.42578125" defaultRowHeight="15"/>
  <cols>
    <col min="1" max="1" width="4.28515625" style="181" customWidth="1"/>
    <col min="2" max="2" width="8.42578125" style="181" hidden="1" customWidth="1"/>
    <col min="3" max="3" width="44.85546875" style="181" customWidth="1"/>
    <col min="4" max="4" width="16.7109375" style="181" customWidth="1"/>
    <col min="5" max="5" width="15.85546875" style="181" customWidth="1"/>
    <col min="6" max="6" width="20" style="181" customWidth="1"/>
    <col min="7" max="7" width="18.28515625" style="181" customWidth="1"/>
    <col min="8" max="10" width="15.42578125" style="181" customWidth="1"/>
    <col min="11" max="11" width="15.85546875" style="181" customWidth="1"/>
    <col min="12" max="13" width="15.42578125" style="181" customWidth="1"/>
    <col min="14" max="14" width="3.28515625" style="181" customWidth="1"/>
    <col min="15" max="16384" width="11.42578125" style="181"/>
  </cols>
  <sheetData>
    <row r="1" spans="2:13" ht="15" customHeight="1">
      <c r="B1" s="220"/>
    </row>
    <row r="2" spans="2:13" ht="25.5" customHeight="1">
      <c r="C2" s="221" t="str">
        <f ca="1">"Österreichische Bundesländer in "&amp;_xll.PALO.DATA("jedoxtest/EU_PM_CUBE02","#_Datenstand","frameworkprog_long",Datenstand)&amp;" nach Programmen: Beteiligungen"</f>
        <v>Österreichische Bundesländer in Horizon Europe nach Programmen: Beteiligungen</v>
      </c>
      <c r="D2" s="208"/>
      <c r="E2" s="208"/>
      <c r="F2" s="208"/>
      <c r="G2" s="208"/>
      <c r="H2" s="222"/>
      <c r="I2" s="222"/>
      <c r="J2" s="222"/>
      <c r="K2" s="222"/>
      <c r="L2" s="222"/>
      <c r="M2" s="222"/>
    </row>
    <row r="3" spans="2:13" ht="25.5" customHeight="1">
      <c r="C3" s="246"/>
      <c r="D3" s="208"/>
      <c r="E3" s="208"/>
      <c r="F3" s="208"/>
      <c r="G3" s="208"/>
      <c r="H3" s="208"/>
      <c r="I3" s="208"/>
      <c r="J3" s="208"/>
      <c r="K3" s="208"/>
      <c r="L3" s="208"/>
      <c r="M3" s="208"/>
    </row>
    <row r="4" spans="2:13" hidden="1">
      <c r="D4" s="181">
        <v>3</v>
      </c>
      <c r="E4" s="181">
        <v>18</v>
      </c>
      <c r="F4" s="181">
        <v>7</v>
      </c>
      <c r="G4" s="181">
        <v>30</v>
      </c>
      <c r="H4" s="181">
        <v>36</v>
      </c>
      <c r="I4" s="181">
        <v>22</v>
      </c>
      <c r="J4" s="181">
        <v>40</v>
      </c>
      <c r="K4" s="181">
        <v>46</v>
      </c>
      <c r="L4" s="181">
        <v>15</v>
      </c>
      <c r="M4" s="181">
        <v>1</v>
      </c>
    </row>
    <row r="5" spans="2:13" ht="15.75">
      <c r="D5" s="247" t="s">
        <v>118</v>
      </c>
      <c r="E5" s="247" t="s">
        <v>119</v>
      </c>
      <c r="F5" s="247" t="s">
        <v>120</v>
      </c>
      <c r="G5" s="247" t="s">
        <v>121</v>
      </c>
      <c r="H5" s="247" t="s">
        <v>122</v>
      </c>
      <c r="I5" s="247" t="s">
        <v>123</v>
      </c>
      <c r="J5" s="247" t="s">
        <v>124</v>
      </c>
      <c r="K5" s="247" t="s">
        <v>125</v>
      </c>
      <c r="L5" s="247" t="s">
        <v>126</v>
      </c>
      <c r="M5" s="247" t="s">
        <v>127</v>
      </c>
    </row>
    <row r="6" spans="2:1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Organisationstypen",28,"Alle Expertevaluierungsstatus",$B6,"-2",D$4,"-2","Alle","-2","anzahl_beteiligungen")</f>
        <v>18</v>
      </c>
      <c r="E6" s="187">
        <f ca="1">_xll.PALO.DATAC("jedoxtest/EU_PM_CUBE02","EUPM_Mittel2_Cube",Datenstand,"Alle Beteiligungen","Alle Koordinatoren","Alle Unternehmensgrößen","-2","Alle Organisationstypen",28,"Alle Expertevaluierungsstatus",$B6,"-2",E$4,"-2","Alle","-2","anzahl_beteiligungen")</f>
        <v>128</v>
      </c>
      <c r="F6" s="187">
        <f ca="1">_xll.PALO.DATAC("jedoxtest/EU_PM_CUBE02","EUPM_Mittel2_Cube",Datenstand,"Alle Beteiligungen","Alle Koordinatoren","Alle Unternehmensgrößen","-2","Alle Organisationstypen",28,"Alle Expertevaluierungsstatus",$B6,"-2",F$4,"-2","Alle","-2","anzahl_beteiligungen")</f>
        <v>355</v>
      </c>
      <c r="G6" s="187">
        <f ca="1">_xll.PALO.DATAC("jedoxtest/EU_PM_CUBE02","EUPM_Mittel2_Cube",Datenstand,"Alle Beteiligungen","Alle Koordinatoren","Alle Unternehmensgrößen","-2","Alle Organisationstypen",28,"Alle Expertevaluierungsstatus",$B6,"-2",G$4,"-2","Alle","-2","anzahl_beteiligungen")</f>
        <v>262</v>
      </c>
      <c r="H6" s="187">
        <f ca="1">_xll.PALO.DATAC("jedoxtest/EU_PM_CUBE02","EUPM_Mittel2_Cube",Datenstand,"Alle Beteiligungen","Alle Koordinatoren","Alle Unternehmensgrößen","-2","Alle Organisationstypen",28,"Alle Expertevaluierungsstatus",$B6,"-2",H$4,"-2","Alle","-2","anzahl_beteiligungen")</f>
        <v>73</v>
      </c>
      <c r="I6" s="187">
        <f ca="1">_xll.PALO.DATAC("jedoxtest/EU_PM_CUBE02","EUPM_Mittel2_Cube",Datenstand,"Alle Beteiligungen","Alle Koordinatoren","Alle Unternehmensgrößen","-2","Alle Organisationstypen",28,"Alle Expertevaluierungsstatus",$B6,"-2",I$4,"-2","Alle","-2","anzahl_beteiligungen")</f>
        <v>797</v>
      </c>
      <c r="J6" s="187">
        <f ca="1">_xll.PALO.DATAC("jedoxtest/EU_PM_CUBE02","EUPM_Mittel2_Cube",Datenstand,"Alle Beteiligungen","Alle Koordinatoren","Alle Unternehmensgrößen","-2","Alle Organisationstypen",28,"Alle Expertevaluierungsstatus",$B6,"-2",J$4,"-2","Alle","-2","anzahl_beteiligungen")</f>
        <v>212</v>
      </c>
      <c r="K6" s="187">
        <f ca="1">_xll.PALO.DATAC("jedoxtest/EU_PM_CUBE02","EUPM_Mittel2_Cube",Datenstand,"Alle Beteiligungen","Alle Koordinatoren","Alle Unternehmensgrößen","-2","Alle Organisationstypen",28,"Alle Expertevaluierungsstatus",$B6,"-2",K$4,"-2","Alle","-2","anzahl_beteiligungen")</f>
        <v>13</v>
      </c>
      <c r="L6" s="187">
        <f ca="1">_xll.PALO.DATAC("jedoxtest/EU_PM_CUBE02","EUPM_Mittel2_Cube",Datenstand,"Alle Beteiligungen","Alle Koordinatoren","Alle Unternehmensgrößen","-2","Alle Organisationstypen",28,"Alle Expertevaluierungsstatus",$B6,"-2",L$4,"-2","Alle","-2","anzahl_beteiligungen")</f>
        <v>2061</v>
      </c>
      <c r="M6" s="187">
        <f ca="1">_xll.PALO.DATAC("jedoxtest/EU_PM_CUBE02","EUPM_Mittel2_Cube",Datenstand,"Alle Beteiligungen","Alle Koordinatoren","Alle Unternehmensgrößen","-2","Alle Organisationstypen",28,"Alle Expertevaluierungsstatus",$B6,"-2",M$4,"-2","Alle","-2","anzahl_beteiligungen")</f>
        <v>3919</v>
      </c>
    </row>
    <row r="7" spans="2:13" ht="15" hidden="1" customHeight="1">
      <c r="B7" t="s">
        <v>139</v>
      </c>
      <c r="C7" s="368" t="str">
        <f ca="1">_xll.PALO.DATA("jedoxtest/EU_PM_CUBE02","#_Programme","Langbezeichnung",$B7)</f>
        <v>EC Treaty</v>
      </c>
      <c r="D7" s="226">
        <f ca="1">_xll.PALO.DATAC("jedoxtest/EU_PM_CUBE02","EUPM_Mittel2_Cube",Datenstand,"Alle Beteiligungen","Alle Koordinatoren","Alle Unternehmensgrößen","-2","Alle Organisationstypen",28,"Alle Expertevaluierungsstatus",$B7,"-2",D$4,"-2","Alle","-2","anzahl_beteiligungen")</f>
        <v>18</v>
      </c>
      <c r="E7" s="226">
        <f ca="1">_xll.PALO.DATAC("jedoxtest/EU_PM_CUBE02","EUPM_Mittel2_Cube",Datenstand,"Alle Beteiligungen","Alle Koordinatoren","Alle Unternehmensgrößen","-2","Alle Organisationstypen",28,"Alle Expertevaluierungsstatus",$B7,"-2",E$4,"-2","Alle","-2","anzahl_beteiligungen")</f>
        <v>128</v>
      </c>
      <c r="F7" s="226">
        <f ca="1">_xll.PALO.DATAC("jedoxtest/EU_PM_CUBE02","EUPM_Mittel2_Cube",Datenstand,"Alle Beteiligungen","Alle Koordinatoren","Alle Unternehmensgrößen","-2","Alle Organisationstypen",28,"Alle Expertevaluierungsstatus",$B7,"-2",F$4,"-2","Alle","-2","anzahl_beteiligungen")</f>
        <v>355</v>
      </c>
      <c r="G7" s="226">
        <f ca="1">_xll.PALO.DATAC("jedoxtest/EU_PM_CUBE02","EUPM_Mittel2_Cube",Datenstand,"Alle Beteiligungen","Alle Koordinatoren","Alle Unternehmensgrößen","-2","Alle Organisationstypen",28,"Alle Expertevaluierungsstatus",$B7,"-2",G$4,"-2","Alle","-2","anzahl_beteiligungen")</f>
        <v>262</v>
      </c>
      <c r="H7" s="226">
        <f ca="1">_xll.PALO.DATAC("jedoxtest/EU_PM_CUBE02","EUPM_Mittel2_Cube",Datenstand,"Alle Beteiligungen","Alle Koordinatoren","Alle Unternehmensgrößen","-2","Alle Organisationstypen",28,"Alle Expertevaluierungsstatus",$B7,"-2",H$4,"-2","Alle","-2","anzahl_beteiligungen")</f>
        <v>73</v>
      </c>
      <c r="I7" s="226">
        <f ca="1">_xll.PALO.DATAC("jedoxtest/EU_PM_CUBE02","EUPM_Mittel2_Cube",Datenstand,"Alle Beteiligungen","Alle Koordinatoren","Alle Unternehmensgrößen","-2","Alle Organisationstypen",28,"Alle Expertevaluierungsstatus",$B7,"-2",I$4,"-2","Alle","-2","anzahl_beteiligungen")</f>
        <v>797</v>
      </c>
      <c r="J7" s="226">
        <f ca="1">_xll.PALO.DATAC("jedoxtest/EU_PM_CUBE02","EUPM_Mittel2_Cube",Datenstand,"Alle Beteiligungen","Alle Koordinatoren","Alle Unternehmensgrößen","-2","Alle Organisationstypen",28,"Alle Expertevaluierungsstatus",$B7,"-2",J$4,"-2","Alle","-2","anzahl_beteiligungen")</f>
        <v>212</v>
      </c>
      <c r="K7" s="226">
        <f ca="1">_xll.PALO.DATAC("jedoxtest/EU_PM_CUBE02","EUPM_Mittel2_Cube",Datenstand,"Alle Beteiligungen","Alle Koordinatoren","Alle Unternehmensgrößen","-2","Alle Organisationstypen",28,"Alle Expertevaluierungsstatus",$B7,"-2",K$4,"-2","Alle","-2","anzahl_beteiligungen")</f>
        <v>13</v>
      </c>
      <c r="L7" s="226">
        <f ca="1">_xll.PALO.DATAC("jedoxtest/EU_PM_CUBE02","EUPM_Mittel2_Cube",Datenstand,"Alle Beteiligungen","Alle Koordinatoren","Alle Unternehmensgrößen","-2","Alle Organisationstypen",28,"Alle Expertevaluierungsstatus",$B7,"-2",L$4,"-2","Alle","-2","anzahl_beteiligungen")</f>
        <v>2061</v>
      </c>
      <c r="M7" s="226">
        <f ca="1">_xll.PALO.DATAC("jedoxtest/EU_PM_CUBE02","EUPM_Mittel2_Cube",Datenstand,"Alle Beteiligungen","Alle Koordinatoren","Alle Unternehmensgrößen","-2","Alle Organisationstypen",28,"Alle Expertevaluierungsstatus",$B7,"-2",M$4,"-2","Alle","-2","anzahl_beteiligungen")</f>
        <v>3919</v>
      </c>
    </row>
    <row r="8" spans="2:13" ht="15" customHeight="1">
      <c r="B8" t="s">
        <v>140</v>
      </c>
      <c r="C8" s="368" t="str">
        <f ca="1">_xll.PALO.DATA("jedoxtest/EU_PM_CUBE02","#_Programme","Langbezeichnung",$B8)</f>
        <v>Excellent Science</v>
      </c>
      <c r="D8" s="226">
        <f ca="1">_xll.PALO.DATAC("jedoxtest/EU_PM_CUBE02","EUPM_Mittel2_Cube",Datenstand,"Alle Beteiligungen","Alle Koordinatoren","Alle Unternehmensgrößen","-2","Alle Organisationstypen",28,"Alle Expertevaluierungsstatus",$B8,"-2",D$4,"-2","Alle","-2","anzahl_beteiligungen")</f>
        <v>0</v>
      </c>
      <c r="E8" s="226">
        <f ca="1">_xll.PALO.DATAC("jedoxtest/EU_PM_CUBE02","EUPM_Mittel2_Cube",Datenstand,"Alle Beteiligungen","Alle Koordinatoren","Alle Unternehmensgrößen","-2","Alle Organisationstypen",28,"Alle Expertevaluierungsstatus",$B8,"-2",E$4,"-2","Alle","-2","anzahl_beteiligungen")</f>
        <v>9</v>
      </c>
      <c r="F8" s="226">
        <f ca="1">_xll.PALO.DATAC("jedoxtest/EU_PM_CUBE02","EUPM_Mittel2_Cube",Datenstand,"Alle Beteiligungen","Alle Koordinatoren","Alle Unternehmensgrößen","-2","Alle Organisationstypen",28,"Alle Expertevaluierungsstatus",$B8,"-2",F$4,"-2","Alle","-2","anzahl_beteiligungen")</f>
        <v>112</v>
      </c>
      <c r="G8" s="226">
        <f ca="1">_xll.PALO.DATAC("jedoxtest/EU_PM_CUBE02","EUPM_Mittel2_Cube",Datenstand,"Alle Beteiligungen","Alle Koordinatoren","Alle Unternehmensgrößen","-2","Alle Organisationstypen",28,"Alle Expertevaluierungsstatus",$B8,"-2",G$4,"-2","Alle","-2","anzahl_beteiligungen")</f>
        <v>46</v>
      </c>
      <c r="H8" s="226">
        <f ca="1">_xll.PALO.DATAC("jedoxtest/EU_PM_CUBE02","EUPM_Mittel2_Cube",Datenstand,"Alle Beteiligungen","Alle Koordinatoren","Alle Unternehmensgrößen","-2","Alle Organisationstypen",28,"Alle Expertevaluierungsstatus",$B8,"-2",H$4,"-2","Alle","-2","anzahl_beteiligungen")</f>
        <v>25</v>
      </c>
      <c r="I8" s="226">
        <f ca="1">_xll.PALO.DATAC("jedoxtest/EU_PM_CUBE02","EUPM_Mittel2_Cube",Datenstand,"Alle Beteiligungen","Alle Koordinatoren","Alle Unternehmensgrößen","-2","Alle Organisationstypen",28,"Alle Expertevaluierungsstatus",$B8,"-2",I$4,"-2","Alle","-2","anzahl_beteiligungen")</f>
        <v>214</v>
      </c>
      <c r="J8" s="226">
        <f ca="1">_xll.PALO.DATAC("jedoxtest/EU_PM_CUBE02","EUPM_Mittel2_Cube",Datenstand,"Alle Beteiligungen","Alle Koordinatoren","Alle Unternehmensgrößen","-2","Alle Organisationstypen",28,"Alle Expertevaluierungsstatus",$B8,"-2",J$4,"-2","Alle","-2","anzahl_beteiligungen")</f>
        <v>79</v>
      </c>
      <c r="K8" s="226">
        <f ca="1">_xll.PALO.DATAC("jedoxtest/EU_PM_CUBE02","EUPM_Mittel2_Cube",Datenstand,"Alle Beteiligungen","Alle Koordinatoren","Alle Unternehmensgrößen","-2","Alle Organisationstypen",28,"Alle Expertevaluierungsstatus",$B8,"-2",K$4,"-2","Alle","-2","anzahl_beteiligungen")</f>
        <v>1</v>
      </c>
      <c r="L8" s="226">
        <f ca="1">_xll.PALO.DATAC("jedoxtest/EU_PM_CUBE02","EUPM_Mittel2_Cube",Datenstand,"Alle Beteiligungen","Alle Koordinatoren","Alle Unternehmensgrößen","-2","Alle Organisationstypen",28,"Alle Expertevaluierungsstatus",$B8,"-2",L$4,"-2","Alle","-2","anzahl_beteiligungen")</f>
        <v>658</v>
      </c>
      <c r="M8" s="226">
        <f ca="1">_xll.PALO.DATAC("jedoxtest/EU_PM_CUBE02","EUPM_Mittel2_Cube",Datenstand,"Alle Beteiligungen","Alle Koordinatoren","Alle Unternehmensgrößen","-2","Alle Organisationstypen",28,"Alle Expertevaluierungsstatus",$B8,"-2",M$4,"-2","Alle","-2","anzahl_beteiligungen")</f>
        <v>1144</v>
      </c>
    </row>
    <row r="9" spans="2:13" ht="15" customHeight="1">
      <c r="B9" t="s">
        <v>141</v>
      </c>
      <c r="C9" s="474" t="str">
        <f ca="1">_xll.PALO.DATA("jedoxtest/EU_PM_CUBE02","#_Programme","Langbezeichnung",$B9)</f>
        <v>European Research Council (ERC)</v>
      </c>
      <c r="D9" s="226">
        <f ca="1">_xll.PALO.DATAC("jedoxtest/EU_PM_CUBE02","EUPM_Mittel2_Cube",Datenstand,"Alle Beteiligungen","Alle Koordinatoren","Alle Unternehmensgrößen","-2","Alle Organisationstypen",28,"Alle Expertevaluierungsstatus",$B9,"-2",D$4,"-2","Alle","-2","anzahl_beteiligungen")</f>
        <v>0</v>
      </c>
      <c r="E9" s="226">
        <f ca="1">_xll.PALO.DATAC("jedoxtest/EU_PM_CUBE02","EUPM_Mittel2_Cube",Datenstand,"Alle Beteiligungen","Alle Koordinatoren","Alle Unternehmensgrößen","-2","Alle Organisationstypen",28,"Alle Expertevaluierungsstatus",$B9,"-2",E$4,"-2","Alle","-2","anzahl_beteiligungen")</f>
        <v>0</v>
      </c>
      <c r="F9" s="226">
        <f ca="1">_xll.PALO.DATAC("jedoxtest/EU_PM_CUBE02","EUPM_Mittel2_Cube",Datenstand,"Alle Beteiligungen","Alle Koordinatoren","Alle Unternehmensgrößen","-2","Alle Organisationstypen",28,"Alle Expertevaluierungsstatus",$B9,"-2",F$4,"-2","Alle","-2","anzahl_beteiligungen")</f>
        <v>42</v>
      </c>
      <c r="G9" s="226">
        <f ca="1">_xll.PALO.DATAC("jedoxtest/EU_PM_CUBE02","EUPM_Mittel2_Cube",Datenstand,"Alle Beteiligungen","Alle Koordinatoren","Alle Unternehmensgrößen","-2","Alle Organisationstypen",28,"Alle Expertevaluierungsstatus",$B9,"-2",G$4,"-2","Alle","-2","anzahl_beteiligungen")</f>
        <v>6</v>
      </c>
      <c r="H9" s="226">
        <f ca="1">_xll.PALO.DATAC("jedoxtest/EU_PM_CUBE02","EUPM_Mittel2_Cube",Datenstand,"Alle Beteiligungen","Alle Koordinatoren","Alle Unternehmensgrößen","-2","Alle Organisationstypen",28,"Alle Expertevaluierungsstatus",$B9,"-2",H$4,"-2","Alle","-2","anzahl_beteiligungen")</f>
        <v>5</v>
      </c>
      <c r="I9" s="226">
        <f ca="1">_xll.PALO.DATAC("jedoxtest/EU_PM_CUBE02","EUPM_Mittel2_Cube",Datenstand,"Alle Beteiligungen","Alle Koordinatoren","Alle Unternehmensgrößen","-2","Alle Organisationstypen",28,"Alle Expertevaluierungsstatus",$B9,"-2",I$4,"-2","Alle","-2","anzahl_beteiligungen")</f>
        <v>37</v>
      </c>
      <c r="J9" s="226">
        <f ca="1">_xll.PALO.DATAC("jedoxtest/EU_PM_CUBE02","EUPM_Mittel2_Cube",Datenstand,"Alle Beteiligungen","Alle Koordinatoren","Alle Unternehmensgrößen","-2","Alle Organisationstypen",28,"Alle Expertevaluierungsstatus",$B9,"-2",J$4,"-2","Alle","-2","anzahl_beteiligungen")</f>
        <v>22</v>
      </c>
      <c r="K9" s="226">
        <f ca="1">_xll.PALO.DATAC("jedoxtest/EU_PM_CUBE02","EUPM_Mittel2_Cube",Datenstand,"Alle Beteiligungen","Alle Koordinatoren","Alle Unternehmensgrößen","-2","Alle Organisationstypen",28,"Alle Expertevaluierungsstatus",$B9,"-2",K$4,"-2","Alle","-2","anzahl_beteiligungen")</f>
        <v>0</v>
      </c>
      <c r="L9" s="226">
        <f ca="1">_xll.PALO.DATAC("jedoxtest/EU_PM_CUBE02","EUPM_Mittel2_Cube",Datenstand,"Alle Beteiligungen","Alle Koordinatoren","Alle Unternehmensgrößen","-2","Alle Organisationstypen",28,"Alle Expertevaluierungsstatus",$B9,"-2",L$4,"-2","Alle","-2","anzahl_beteiligungen")</f>
        <v>180</v>
      </c>
      <c r="M9" s="226">
        <f ca="1">_xll.PALO.DATAC("jedoxtest/EU_PM_CUBE02","EUPM_Mittel2_Cube",Datenstand,"Alle Beteiligungen","Alle Koordinatoren","Alle Unternehmensgrößen","-2","Alle Organisationstypen",28,"Alle Expertevaluierungsstatus",$B9,"-2",M$4,"-2","Alle","-2","anzahl_beteiligungen")</f>
        <v>292</v>
      </c>
    </row>
    <row r="10" spans="2:13" ht="15" customHeight="1">
      <c r="B10" t="s">
        <v>142</v>
      </c>
      <c r="C10" s="474" t="str">
        <f ca="1">_xll.PALO.DATA("jedoxtest/EU_PM_CUBE02","#_Programme","Langbezeichnung",$B10)</f>
        <v>Marie Skłodowska-Curie Actions (MSCA)</v>
      </c>
      <c r="D10" s="226">
        <f ca="1">_xll.PALO.DATAC("jedoxtest/EU_PM_CUBE02","EUPM_Mittel2_Cube",Datenstand,"Alle Beteiligungen","Alle Koordinatoren","Alle Unternehmensgrößen","-2","Alle Organisationstypen",28,"Alle Expertevaluierungsstatus",$B10,"-2",D$4,"-2","Alle","-2","anzahl_beteiligungen")</f>
        <v>0</v>
      </c>
      <c r="E10" s="226">
        <f ca="1">_xll.PALO.DATAC("jedoxtest/EU_PM_CUBE02","EUPM_Mittel2_Cube",Datenstand,"Alle Beteiligungen","Alle Koordinatoren","Alle Unternehmensgrößen","-2","Alle Organisationstypen",28,"Alle Expertevaluierungsstatus",$B10,"-2",E$4,"-2","Alle","-2","anzahl_beteiligungen")</f>
        <v>9</v>
      </c>
      <c r="F10" s="226">
        <f ca="1">_xll.PALO.DATAC("jedoxtest/EU_PM_CUBE02","EUPM_Mittel2_Cube",Datenstand,"Alle Beteiligungen","Alle Koordinatoren","Alle Unternehmensgrößen","-2","Alle Organisationstypen",28,"Alle Expertevaluierungsstatus",$B10,"-2",F$4,"-2","Alle","-2","anzahl_beteiligungen")</f>
        <v>64</v>
      </c>
      <c r="G10" s="226">
        <f ca="1">_xll.PALO.DATAC("jedoxtest/EU_PM_CUBE02","EUPM_Mittel2_Cube",Datenstand,"Alle Beteiligungen","Alle Koordinatoren","Alle Unternehmensgrößen","-2","Alle Organisationstypen",28,"Alle Expertevaluierungsstatus",$B10,"-2",G$4,"-2","Alle","-2","anzahl_beteiligungen")</f>
        <v>38</v>
      </c>
      <c r="H10" s="226">
        <f ca="1">_xll.PALO.DATAC("jedoxtest/EU_PM_CUBE02","EUPM_Mittel2_Cube",Datenstand,"Alle Beteiligungen","Alle Koordinatoren","Alle Unternehmensgrößen","-2","Alle Organisationstypen",28,"Alle Expertevaluierungsstatus",$B10,"-2",H$4,"-2","Alle","-2","anzahl_beteiligungen")</f>
        <v>20</v>
      </c>
      <c r="I10" s="226">
        <f ca="1">_xll.PALO.DATAC("jedoxtest/EU_PM_CUBE02","EUPM_Mittel2_Cube",Datenstand,"Alle Beteiligungen","Alle Koordinatoren","Alle Unternehmensgrößen","-2","Alle Organisationstypen",28,"Alle Expertevaluierungsstatus",$B10,"-2",I$4,"-2","Alle","-2","anzahl_beteiligungen")</f>
        <v>136</v>
      </c>
      <c r="J10" s="226">
        <f ca="1">_xll.PALO.DATAC("jedoxtest/EU_PM_CUBE02","EUPM_Mittel2_Cube",Datenstand,"Alle Beteiligungen","Alle Koordinatoren","Alle Unternehmensgrößen","-2","Alle Organisationstypen",28,"Alle Expertevaluierungsstatus",$B10,"-2",J$4,"-2","Alle","-2","anzahl_beteiligungen")</f>
        <v>52</v>
      </c>
      <c r="K10" s="226">
        <f ca="1">_xll.PALO.DATAC("jedoxtest/EU_PM_CUBE02","EUPM_Mittel2_Cube",Datenstand,"Alle Beteiligungen","Alle Koordinatoren","Alle Unternehmensgrößen","-2","Alle Organisationstypen",28,"Alle Expertevaluierungsstatus",$B10,"-2",K$4,"-2","Alle","-2","anzahl_beteiligungen")</f>
        <v>1</v>
      </c>
      <c r="L10" s="226">
        <f ca="1">_xll.PALO.DATAC("jedoxtest/EU_PM_CUBE02","EUPM_Mittel2_Cube",Datenstand,"Alle Beteiligungen","Alle Koordinatoren","Alle Unternehmensgrößen","-2","Alle Organisationstypen",28,"Alle Expertevaluierungsstatus",$B10,"-2",L$4,"-2","Alle","-2","anzahl_beteiligungen")</f>
        <v>409</v>
      </c>
      <c r="M10" s="226">
        <f ca="1">_xll.PALO.DATAC("jedoxtest/EU_PM_CUBE02","EUPM_Mittel2_Cube",Datenstand,"Alle Beteiligungen","Alle Koordinatoren","Alle Unternehmensgrößen","-2","Alle Organisationstypen",28,"Alle Expertevaluierungsstatus",$B10,"-2",M$4,"-2","Alle","-2","anzahl_beteiligungen")</f>
        <v>729</v>
      </c>
    </row>
    <row r="11" spans="2:13" ht="15" customHeight="1">
      <c r="B11" t="s">
        <v>143</v>
      </c>
      <c r="C11" s="474" t="str">
        <f ca="1">_xll.PALO.DATA("jedoxtest/EU_PM_CUBE02","#_Programme","Langbezeichnung",$B11)</f>
        <v>Research infrastructures</v>
      </c>
      <c r="D11" s="226">
        <f ca="1">_xll.PALO.DATAC("jedoxtest/EU_PM_CUBE02","EUPM_Mittel2_Cube",Datenstand,"Alle Beteiligungen","Alle Koordinatoren","Alle Unternehmensgrößen","-2","Alle Organisationstypen",28,"Alle Expertevaluierungsstatus",$B11,"-2",D$4,"-2","Alle","-2","anzahl_beteiligungen")</f>
        <v>0</v>
      </c>
      <c r="E11" s="226">
        <f ca="1">_xll.PALO.DATAC("jedoxtest/EU_PM_CUBE02","EUPM_Mittel2_Cube",Datenstand,"Alle Beteiligungen","Alle Koordinatoren","Alle Unternehmensgrößen","-2","Alle Organisationstypen",28,"Alle Expertevaluierungsstatus",$B11,"-2",E$4,"-2","Alle","-2","anzahl_beteiligungen")</f>
        <v>0</v>
      </c>
      <c r="F11" s="226">
        <f ca="1">_xll.PALO.DATAC("jedoxtest/EU_PM_CUBE02","EUPM_Mittel2_Cube",Datenstand,"Alle Beteiligungen","Alle Koordinatoren","Alle Unternehmensgrößen","-2","Alle Organisationstypen",28,"Alle Expertevaluierungsstatus",$B11,"-2",F$4,"-2","Alle","-2","anzahl_beteiligungen")</f>
        <v>6</v>
      </c>
      <c r="G11" s="226">
        <f ca="1">_xll.PALO.DATAC("jedoxtest/EU_PM_CUBE02","EUPM_Mittel2_Cube",Datenstand,"Alle Beteiligungen","Alle Koordinatoren","Alle Unternehmensgrößen","-2","Alle Organisationstypen",28,"Alle Expertevaluierungsstatus",$B11,"-2",G$4,"-2","Alle","-2","anzahl_beteiligungen")</f>
        <v>2</v>
      </c>
      <c r="H11" s="226">
        <f ca="1">_xll.PALO.DATAC("jedoxtest/EU_PM_CUBE02","EUPM_Mittel2_Cube",Datenstand,"Alle Beteiligungen","Alle Koordinatoren","Alle Unternehmensgrößen","-2","Alle Organisationstypen",28,"Alle Expertevaluierungsstatus",$B11,"-2",H$4,"-2","Alle","-2","anzahl_beteiligungen")</f>
        <v>0</v>
      </c>
      <c r="I11" s="226">
        <f ca="1">_xll.PALO.DATAC("jedoxtest/EU_PM_CUBE02","EUPM_Mittel2_Cube",Datenstand,"Alle Beteiligungen","Alle Koordinatoren","Alle Unternehmensgrößen","-2","Alle Organisationstypen",28,"Alle Expertevaluierungsstatus",$B11,"-2",I$4,"-2","Alle","-2","anzahl_beteiligungen")</f>
        <v>41</v>
      </c>
      <c r="J11" s="226">
        <f ca="1">_xll.PALO.DATAC("jedoxtest/EU_PM_CUBE02","EUPM_Mittel2_Cube",Datenstand,"Alle Beteiligungen","Alle Koordinatoren","Alle Unternehmensgrößen","-2","Alle Organisationstypen",28,"Alle Expertevaluierungsstatus",$B11,"-2",J$4,"-2","Alle","-2","anzahl_beteiligungen")</f>
        <v>5</v>
      </c>
      <c r="K11" s="226">
        <f ca="1">_xll.PALO.DATAC("jedoxtest/EU_PM_CUBE02","EUPM_Mittel2_Cube",Datenstand,"Alle Beteiligungen","Alle Koordinatoren","Alle Unternehmensgrößen","-2","Alle Organisationstypen",28,"Alle Expertevaluierungsstatus",$B11,"-2",K$4,"-2","Alle","-2","anzahl_beteiligungen")</f>
        <v>0</v>
      </c>
      <c r="L11" s="226">
        <f ca="1">_xll.PALO.DATAC("jedoxtest/EU_PM_CUBE02","EUPM_Mittel2_Cube",Datenstand,"Alle Beteiligungen","Alle Koordinatoren","Alle Unternehmensgrößen","-2","Alle Organisationstypen",28,"Alle Expertevaluierungsstatus",$B11,"-2",L$4,"-2","Alle","-2","anzahl_beteiligungen")</f>
        <v>69</v>
      </c>
      <c r="M11" s="226">
        <f ca="1">_xll.PALO.DATAC("jedoxtest/EU_PM_CUBE02","EUPM_Mittel2_Cube",Datenstand,"Alle Beteiligungen","Alle Koordinatoren","Alle Unternehmensgrößen","-2","Alle Organisationstypen",28,"Alle Expertevaluierungsstatus",$B11,"-2",M$4,"-2","Alle","-2","anzahl_beteiligungen")</f>
        <v>123</v>
      </c>
    </row>
    <row r="12" spans="2:13" ht="30" customHeight="1">
      <c r="B12" t="s">
        <v>144</v>
      </c>
      <c r="C12" s="368" t="str">
        <f ca="1">_xll.PALO.DATA("jedoxtest/EU_PM_CUBE02","#_Programme","Langbezeichnung",$B12)</f>
        <v>Global Challenges and European Industrial Competitiveness</v>
      </c>
      <c r="D12" s="226">
        <f ca="1">_xll.PALO.DATAC("jedoxtest/EU_PM_CUBE02","EUPM_Mittel2_Cube",Datenstand,"Alle Beteiligungen","Alle Koordinatoren","Alle Unternehmensgrößen","-2","Alle Organisationstypen",28,"Alle Expertevaluierungsstatus",$B12,"-2",D$4,"-2","Alle","-2","anzahl_beteiligungen")</f>
        <v>17</v>
      </c>
      <c r="E12" s="226">
        <f ca="1">_xll.PALO.DATAC("jedoxtest/EU_PM_CUBE02","EUPM_Mittel2_Cube",Datenstand,"Alle Beteiligungen","Alle Koordinatoren","Alle Unternehmensgrößen","-2","Alle Organisationstypen",28,"Alle Expertevaluierungsstatus",$B12,"-2",E$4,"-2","Alle","-2","anzahl_beteiligungen")</f>
        <v>115</v>
      </c>
      <c r="F12" s="226">
        <f ca="1">_xll.PALO.DATAC("jedoxtest/EU_PM_CUBE02","EUPM_Mittel2_Cube",Datenstand,"Alle Beteiligungen","Alle Koordinatoren","Alle Unternehmensgrößen","-2","Alle Organisationstypen",28,"Alle Expertevaluierungsstatus",$B12,"-2",F$4,"-2","Alle","-2","anzahl_beteiligungen")</f>
        <v>205</v>
      </c>
      <c r="G12" s="226">
        <f ca="1">_xll.PALO.DATAC("jedoxtest/EU_PM_CUBE02","EUPM_Mittel2_Cube",Datenstand,"Alle Beteiligungen","Alle Koordinatoren","Alle Unternehmensgrößen","-2","Alle Organisationstypen",28,"Alle Expertevaluierungsstatus",$B12,"-2",G$4,"-2","Alle","-2","anzahl_beteiligungen")</f>
        <v>195</v>
      </c>
      <c r="H12" s="226">
        <f ca="1">_xll.PALO.DATAC("jedoxtest/EU_PM_CUBE02","EUPM_Mittel2_Cube",Datenstand,"Alle Beteiligungen","Alle Koordinatoren","Alle Unternehmensgrößen","-2","Alle Organisationstypen",28,"Alle Expertevaluierungsstatus",$B12,"-2",H$4,"-2","Alle","-2","anzahl_beteiligungen")</f>
        <v>45</v>
      </c>
      <c r="I12" s="226">
        <f ca="1">_xll.PALO.DATAC("jedoxtest/EU_PM_CUBE02","EUPM_Mittel2_Cube",Datenstand,"Alle Beteiligungen","Alle Koordinatoren","Alle Unternehmensgrößen","-2","Alle Organisationstypen",28,"Alle Expertevaluierungsstatus",$B12,"-2",I$4,"-2","Alle","-2","anzahl_beteiligungen")</f>
        <v>522</v>
      </c>
      <c r="J12" s="226">
        <f ca="1">_xll.PALO.DATAC("jedoxtest/EU_PM_CUBE02","EUPM_Mittel2_Cube",Datenstand,"Alle Beteiligungen","Alle Koordinatoren","Alle Unternehmensgrößen","-2","Alle Organisationstypen",28,"Alle Expertevaluierungsstatus",$B12,"-2",J$4,"-2","Alle","-2","anzahl_beteiligungen")</f>
        <v>124</v>
      </c>
      <c r="K12" s="226">
        <f ca="1">_xll.PALO.DATAC("jedoxtest/EU_PM_CUBE02","EUPM_Mittel2_Cube",Datenstand,"Alle Beteiligungen","Alle Koordinatoren","Alle Unternehmensgrößen","-2","Alle Organisationstypen",28,"Alle Expertevaluierungsstatus",$B12,"-2",K$4,"-2","Alle","-2","anzahl_beteiligungen")</f>
        <v>12</v>
      </c>
      <c r="L12" s="226">
        <f ca="1">_xll.PALO.DATAC("jedoxtest/EU_PM_CUBE02","EUPM_Mittel2_Cube",Datenstand,"Alle Beteiligungen","Alle Koordinatoren","Alle Unternehmensgrößen","-2","Alle Organisationstypen",28,"Alle Expertevaluierungsstatus",$B12,"-2",L$4,"-2","Alle","-2","anzahl_beteiligungen")</f>
        <v>1261</v>
      </c>
      <c r="M12" s="226">
        <f ca="1">_xll.PALO.DATAC("jedoxtest/EU_PM_CUBE02","EUPM_Mittel2_Cube",Datenstand,"Alle Beteiligungen","Alle Koordinatoren","Alle Unternehmensgrößen","-2","Alle Organisationstypen",28,"Alle Expertevaluierungsstatus",$B12,"-2",M$4,"-2","Alle","-2","anzahl_beteiligungen")</f>
        <v>2496</v>
      </c>
    </row>
    <row r="13" spans="2:13" ht="15" customHeight="1">
      <c r="B13" t="s">
        <v>145</v>
      </c>
      <c r="C13" s="474" t="str">
        <f ca="1">_xll.PALO.DATA("jedoxtest/EU_PM_CUBE02","#_Programme","Langbezeichnung",$B13)</f>
        <v>Health</v>
      </c>
      <c r="D13" s="226">
        <f ca="1">_xll.PALO.DATAC("jedoxtest/EU_PM_CUBE02","EUPM_Mittel2_Cube",Datenstand,"Alle Beteiligungen","Alle Koordinatoren","Alle Unternehmensgrößen","-2","Alle Organisationstypen",28,"Alle Expertevaluierungsstatus",$B13,"-2",D$4,"-2","Alle","-2","anzahl_beteiligungen")</f>
        <v>0</v>
      </c>
      <c r="E13" s="226">
        <f ca="1">_xll.PALO.DATAC("jedoxtest/EU_PM_CUBE02","EUPM_Mittel2_Cube",Datenstand,"Alle Beteiligungen","Alle Koordinatoren","Alle Unternehmensgrößen","-2","Alle Organisationstypen",28,"Alle Expertevaluierungsstatus",$B13,"-2",E$4,"-2","Alle","-2","anzahl_beteiligungen")</f>
        <v>3</v>
      </c>
      <c r="F13" s="226">
        <f ca="1">_xll.PALO.DATAC("jedoxtest/EU_PM_CUBE02","EUPM_Mittel2_Cube",Datenstand,"Alle Beteiligungen","Alle Koordinatoren","Alle Unternehmensgrößen","-2","Alle Organisationstypen",28,"Alle Expertevaluierungsstatus",$B13,"-2",F$4,"-2","Alle","-2","anzahl_beteiligungen")</f>
        <v>8</v>
      </c>
      <c r="G13" s="226">
        <f ca="1">_xll.PALO.DATAC("jedoxtest/EU_PM_CUBE02","EUPM_Mittel2_Cube",Datenstand,"Alle Beteiligungen","Alle Koordinatoren","Alle Unternehmensgrößen","-2","Alle Organisationstypen",28,"Alle Expertevaluierungsstatus",$B13,"-2",G$4,"-2","Alle","-2","anzahl_beteiligungen")</f>
        <v>4</v>
      </c>
      <c r="H13" s="226">
        <f ca="1">_xll.PALO.DATAC("jedoxtest/EU_PM_CUBE02","EUPM_Mittel2_Cube",Datenstand,"Alle Beteiligungen","Alle Koordinatoren","Alle Unternehmensgrößen","-2","Alle Organisationstypen",28,"Alle Expertevaluierungsstatus",$B13,"-2",H$4,"-2","Alle","-2","anzahl_beteiligungen")</f>
        <v>6</v>
      </c>
      <c r="I13" s="226">
        <f ca="1">_xll.PALO.DATAC("jedoxtest/EU_PM_CUBE02","EUPM_Mittel2_Cube",Datenstand,"Alle Beteiligungen","Alle Koordinatoren","Alle Unternehmensgrößen","-2","Alle Organisationstypen",28,"Alle Expertevaluierungsstatus",$B13,"-2",I$4,"-2","Alle","-2","anzahl_beteiligungen")</f>
        <v>42</v>
      </c>
      <c r="J13" s="226">
        <f ca="1">_xll.PALO.DATAC("jedoxtest/EU_PM_CUBE02","EUPM_Mittel2_Cube",Datenstand,"Alle Beteiligungen","Alle Koordinatoren","Alle Unternehmensgrößen","-2","Alle Organisationstypen",28,"Alle Expertevaluierungsstatus",$B13,"-2",J$4,"-2","Alle","-2","anzahl_beteiligungen")</f>
        <v>19</v>
      </c>
      <c r="K13" s="226">
        <f ca="1">_xll.PALO.DATAC("jedoxtest/EU_PM_CUBE02","EUPM_Mittel2_Cube",Datenstand,"Alle Beteiligungen","Alle Koordinatoren","Alle Unternehmensgrößen","-2","Alle Organisationstypen",28,"Alle Expertevaluierungsstatus",$B13,"-2",K$4,"-2","Alle","-2","anzahl_beteiligungen")</f>
        <v>0</v>
      </c>
      <c r="L13" s="226">
        <f ca="1">_xll.PALO.DATAC("jedoxtest/EU_PM_CUBE02","EUPM_Mittel2_Cube",Datenstand,"Alle Beteiligungen","Alle Koordinatoren","Alle Unternehmensgrößen","-2","Alle Organisationstypen",28,"Alle Expertevaluierungsstatus",$B13,"-2",L$4,"-2","Alle","-2","anzahl_beteiligungen")</f>
        <v>177</v>
      </c>
      <c r="M13" s="226">
        <f ca="1">_xll.PALO.DATAC("jedoxtest/EU_PM_CUBE02","EUPM_Mittel2_Cube",Datenstand,"Alle Beteiligungen","Alle Koordinatoren","Alle Unternehmensgrößen","-2","Alle Organisationstypen",28,"Alle Expertevaluierungsstatus",$B13,"-2",M$4,"-2","Alle","-2","anzahl_beteiligungen")</f>
        <v>259</v>
      </c>
    </row>
    <row r="14" spans="2:13" ht="15" customHeight="1">
      <c r="B14" t="s">
        <v>146</v>
      </c>
      <c r="C14" s="474"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Organisationstypen",28,"Alle Expertevaluierungsstatus",$B14,"-2",D$4,"-2","Alle","-2","anzahl_beteiligungen")</f>
        <v>1</v>
      </c>
      <c r="E14" s="226">
        <f ca="1">_xll.PALO.DATAC("jedoxtest/EU_PM_CUBE02","EUPM_Mittel2_Cube",Datenstand,"Alle Beteiligungen","Alle Koordinatoren","Alle Unternehmensgrößen","-2","Alle Organisationstypen",28,"Alle Expertevaluierungsstatus",$B14,"-2",E$4,"-2","Alle","-2","anzahl_beteiligungen")</f>
        <v>3</v>
      </c>
      <c r="F14" s="226">
        <f ca="1">_xll.PALO.DATAC("jedoxtest/EU_PM_CUBE02","EUPM_Mittel2_Cube",Datenstand,"Alle Beteiligungen","Alle Koordinatoren","Alle Unternehmensgrößen","-2","Alle Organisationstypen",28,"Alle Expertevaluierungsstatus",$B14,"-2",F$4,"-2","Alle","-2","anzahl_beteiligungen")</f>
        <v>13</v>
      </c>
      <c r="G14" s="226">
        <f ca="1">_xll.PALO.DATAC("jedoxtest/EU_PM_CUBE02","EUPM_Mittel2_Cube",Datenstand,"Alle Beteiligungen","Alle Koordinatoren","Alle Unternehmensgrößen","-2","Alle Organisationstypen",28,"Alle Expertevaluierungsstatus",$B14,"-2",G$4,"-2","Alle","-2","anzahl_beteiligungen")</f>
        <v>5</v>
      </c>
      <c r="H14" s="226">
        <f ca="1">_xll.PALO.DATAC("jedoxtest/EU_PM_CUBE02","EUPM_Mittel2_Cube",Datenstand,"Alle Beteiligungen","Alle Koordinatoren","Alle Unternehmensgrößen","-2","Alle Organisationstypen",28,"Alle Expertevaluierungsstatus",$B14,"-2",H$4,"-2","Alle","-2","anzahl_beteiligungen")</f>
        <v>8</v>
      </c>
      <c r="I14" s="226">
        <f ca="1">_xll.PALO.DATAC("jedoxtest/EU_PM_CUBE02","EUPM_Mittel2_Cube",Datenstand,"Alle Beteiligungen","Alle Koordinatoren","Alle Unternehmensgrößen","-2","Alle Organisationstypen",28,"Alle Expertevaluierungsstatus",$B14,"-2",I$4,"-2","Alle","-2","anzahl_beteiligungen")</f>
        <v>10</v>
      </c>
      <c r="J14" s="226">
        <f ca="1">_xll.PALO.DATAC("jedoxtest/EU_PM_CUBE02","EUPM_Mittel2_Cube",Datenstand,"Alle Beteiligungen","Alle Koordinatoren","Alle Unternehmensgrößen","-2","Alle Organisationstypen",28,"Alle Expertevaluierungsstatus",$B14,"-2",J$4,"-2","Alle","-2","anzahl_beteiligungen")</f>
        <v>7</v>
      </c>
      <c r="K14" s="226">
        <f ca="1">_xll.PALO.DATAC("jedoxtest/EU_PM_CUBE02","EUPM_Mittel2_Cube",Datenstand,"Alle Beteiligungen","Alle Koordinatoren","Alle Unternehmensgrößen","-2","Alle Organisationstypen",28,"Alle Expertevaluierungsstatus",$B14,"-2",K$4,"-2","Alle","-2","anzahl_beteiligungen")</f>
        <v>1</v>
      </c>
      <c r="L14" s="226">
        <f ca="1">_xll.PALO.DATAC("jedoxtest/EU_PM_CUBE02","EUPM_Mittel2_Cube",Datenstand,"Alle Beteiligungen","Alle Koordinatoren","Alle Unternehmensgrößen","-2","Alle Organisationstypen",28,"Alle Expertevaluierungsstatus",$B14,"-2",L$4,"-2","Alle","-2","anzahl_beteiligungen")</f>
        <v>134</v>
      </c>
      <c r="M14" s="226">
        <f ca="1">_xll.PALO.DATAC("jedoxtest/EU_PM_CUBE02","EUPM_Mittel2_Cube",Datenstand,"Alle Beteiligungen","Alle Koordinatoren","Alle Unternehmensgrößen","-2","Alle Organisationstypen",28,"Alle Expertevaluierungsstatus",$B14,"-2",M$4,"-2","Alle","-2","anzahl_beteiligungen")</f>
        <v>182</v>
      </c>
    </row>
    <row r="15" spans="2:13" ht="15" customHeight="1">
      <c r="B15" t="s">
        <v>147</v>
      </c>
      <c r="C15" s="474" t="str">
        <f ca="1">_xll.PALO.DATA("jedoxtest/EU_PM_CUBE02","#_Programme","Langbezeichnung",$B15)</f>
        <v>Civil Security for Society</v>
      </c>
      <c r="D15" s="226">
        <f ca="1">_xll.PALO.DATAC("jedoxtest/EU_PM_CUBE02","EUPM_Mittel2_Cube",Datenstand,"Alle Beteiligungen","Alle Koordinatoren","Alle Unternehmensgrößen","-2","Alle Organisationstypen",28,"Alle Expertevaluierungsstatus",$B15,"-2",D$4,"-2","Alle","-2","anzahl_beteiligungen")</f>
        <v>0</v>
      </c>
      <c r="E15" s="226">
        <f ca="1">_xll.PALO.DATAC("jedoxtest/EU_PM_CUBE02","EUPM_Mittel2_Cube",Datenstand,"Alle Beteiligungen","Alle Koordinatoren","Alle Unternehmensgrößen","-2","Alle Organisationstypen",28,"Alle Expertevaluierungsstatus",$B15,"-2",E$4,"-2","Alle","-2","anzahl_beteiligungen")</f>
        <v>3</v>
      </c>
      <c r="F15" s="226">
        <f ca="1">_xll.PALO.DATAC("jedoxtest/EU_PM_CUBE02","EUPM_Mittel2_Cube",Datenstand,"Alle Beteiligungen","Alle Koordinatoren","Alle Unternehmensgrößen","-2","Alle Organisationstypen",28,"Alle Expertevaluierungsstatus",$B15,"-2",F$4,"-2","Alle","-2","anzahl_beteiligungen")</f>
        <v>4</v>
      </c>
      <c r="G15" s="226">
        <f ca="1">_xll.PALO.DATAC("jedoxtest/EU_PM_CUBE02","EUPM_Mittel2_Cube",Datenstand,"Alle Beteiligungen","Alle Koordinatoren","Alle Unternehmensgrößen","-2","Alle Organisationstypen",28,"Alle Expertevaluierungsstatus",$B15,"-2",G$4,"-2","Alle","-2","anzahl_beteiligungen")</f>
        <v>7</v>
      </c>
      <c r="H15" s="226">
        <f ca="1">_xll.PALO.DATAC("jedoxtest/EU_PM_CUBE02","EUPM_Mittel2_Cube",Datenstand,"Alle Beteiligungen","Alle Koordinatoren","Alle Unternehmensgrößen","-2","Alle Organisationstypen",28,"Alle Expertevaluierungsstatus",$B15,"-2",H$4,"-2","Alle","-2","anzahl_beteiligungen")</f>
        <v>1</v>
      </c>
      <c r="I15" s="226">
        <f ca="1">_xll.PALO.DATAC("jedoxtest/EU_PM_CUBE02","EUPM_Mittel2_Cube",Datenstand,"Alle Beteiligungen","Alle Koordinatoren","Alle Unternehmensgrößen","-2","Alle Organisationstypen",28,"Alle Expertevaluierungsstatus",$B15,"-2",I$4,"-2","Alle","-2","anzahl_beteiligungen")</f>
        <v>12</v>
      </c>
      <c r="J15" s="226">
        <f ca="1">_xll.PALO.DATAC("jedoxtest/EU_PM_CUBE02","EUPM_Mittel2_Cube",Datenstand,"Alle Beteiligungen","Alle Koordinatoren","Alle Unternehmensgrößen","-2","Alle Organisationstypen",28,"Alle Expertevaluierungsstatus",$B15,"-2",J$4,"-2","Alle","-2","anzahl_beteiligungen")</f>
        <v>5</v>
      </c>
      <c r="K15" s="226">
        <f ca="1">_xll.PALO.DATAC("jedoxtest/EU_PM_CUBE02","EUPM_Mittel2_Cube",Datenstand,"Alle Beteiligungen","Alle Koordinatoren","Alle Unternehmensgrößen","-2","Alle Organisationstypen",28,"Alle Expertevaluierungsstatus",$B15,"-2",K$4,"-2","Alle","-2","anzahl_beteiligungen")</f>
        <v>0</v>
      </c>
      <c r="L15" s="226">
        <f ca="1">_xll.PALO.DATAC("jedoxtest/EU_PM_CUBE02","EUPM_Mittel2_Cube",Datenstand,"Alle Beteiligungen","Alle Koordinatoren","Alle Unternehmensgrößen","-2","Alle Organisationstypen",28,"Alle Expertevaluierungsstatus",$B15,"-2",L$4,"-2","Alle","-2","anzahl_beteiligungen")</f>
        <v>56</v>
      </c>
      <c r="M15" s="226">
        <f ca="1">_xll.PALO.DATAC("jedoxtest/EU_PM_CUBE02","EUPM_Mittel2_Cube",Datenstand,"Alle Beteiligungen","Alle Koordinatoren","Alle Unternehmensgrößen","-2","Alle Organisationstypen",28,"Alle Expertevaluierungsstatus",$B15,"-2",M$4,"-2","Alle","-2","anzahl_beteiligungen")</f>
        <v>88</v>
      </c>
    </row>
    <row r="16" spans="2:13" ht="15" customHeight="1">
      <c r="B16" t="s">
        <v>148</v>
      </c>
      <c r="C16" s="474" t="str">
        <f ca="1">_xll.PALO.DATA("jedoxtest/EU_PM_CUBE02","#_Programme","Langbezeichnung",$B16)</f>
        <v>Digital, Industry and Space</v>
      </c>
      <c r="D16" s="226">
        <f ca="1">_xll.PALO.DATAC("jedoxtest/EU_PM_CUBE02","EUPM_Mittel2_Cube",Datenstand,"Alle Beteiligungen","Alle Koordinatoren","Alle Unternehmensgrößen","-2","Alle Organisationstypen",28,"Alle Expertevaluierungsstatus",$B16,"-2",D$4,"-2","Alle","-2","anzahl_beteiligungen")</f>
        <v>3</v>
      </c>
      <c r="E16" s="226">
        <f ca="1">_xll.PALO.DATAC("jedoxtest/EU_PM_CUBE02","EUPM_Mittel2_Cube",Datenstand,"Alle Beteiligungen","Alle Koordinatoren","Alle Unternehmensgrößen","-2","Alle Organisationstypen",28,"Alle Expertevaluierungsstatus",$B16,"-2",E$4,"-2","Alle","-2","anzahl_beteiligungen")</f>
        <v>66</v>
      </c>
      <c r="F16" s="226">
        <f ca="1">_xll.PALO.DATAC("jedoxtest/EU_PM_CUBE02","EUPM_Mittel2_Cube",Datenstand,"Alle Beteiligungen","Alle Koordinatoren","Alle Unternehmensgrößen","-2","Alle Organisationstypen",28,"Alle Expertevaluierungsstatus",$B16,"-2",F$4,"-2","Alle","-2","anzahl_beteiligungen")</f>
        <v>36</v>
      </c>
      <c r="G16" s="226">
        <f ca="1">_xll.PALO.DATAC("jedoxtest/EU_PM_CUBE02","EUPM_Mittel2_Cube",Datenstand,"Alle Beteiligungen","Alle Koordinatoren","Alle Unternehmensgrößen","-2","Alle Organisationstypen",28,"Alle Expertevaluierungsstatus",$B16,"-2",G$4,"-2","Alle","-2","anzahl_beteiligungen")</f>
        <v>97</v>
      </c>
      <c r="H16" s="226">
        <f ca="1">_xll.PALO.DATAC("jedoxtest/EU_PM_CUBE02","EUPM_Mittel2_Cube",Datenstand,"Alle Beteiligungen","Alle Koordinatoren","Alle Unternehmensgrößen","-2","Alle Organisationstypen",28,"Alle Expertevaluierungsstatus",$B16,"-2",H$4,"-2","Alle","-2","anzahl_beteiligungen")</f>
        <v>16</v>
      </c>
      <c r="I16" s="226">
        <f ca="1">_xll.PALO.DATAC("jedoxtest/EU_PM_CUBE02","EUPM_Mittel2_Cube",Datenstand,"Alle Beteiligungen","Alle Koordinatoren","Alle Unternehmensgrößen","-2","Alle Organisationstypen",28,"Alle Expertevaluierungsstatus",$B16,"-2",I$4,"-2","Alle","-2","anzahl_beteiligungen")</f>
        <v>211</v>
      </c>
      <c r="J16" s="226">
        <f ca="1">_xll.PALO.DATAC("jedoxtest/EU_PM_CUBE02","EUPM_Mittel2_Cube",Datenstand,"Alle Beteiligungen","Alle Koordinatoren","Alle Unternehmensgrößen","-2","Alle Organisationstypen",28,"Alle Expertevaluierungsstatus",$B16,"-2",J$4,"-2","Alle","-2","anzahl_beteiligungen")</f>
        <v>49</v>
      </c>
      <c r="K16" s="226">
        <f ca="1">_xll.PALO.DATAC("jedoxtest/EU_PM_CUBE02","EUPM_Mittel2_Cube",Datenstand,"Alle Beteiligungen","Alle Koordinatoren","Alle Unternehmensgrößen","-2","Alle Organisationstypen",28,"Alle Expertevaluierungsstatus",$B16,"-2",K$4,"-2","Alle","-2","anzahl_beteiligungen")</f>
        <v>4</v>
      </c>
      <c r="L16" s="226">
        <f ca="1">_xll.PALO.DATAC("jedoxtest/EU_PM_CUBE02","EUPM_Mittel2_Cube",Datenstand,"Alle Beteiligungen","Alle Koordinatoren","Alle Unternehmensgrößen","-2","Alle Organisationstypen",28,"Alle Expertevaluierungsstatus",$B16,"-2",L$4,"-2","Alle","-2","anzahl_beteiligungen")</f>
        <v>263</v>
      </c>
      <c r="M16" s="226">
        <f ca="1">_xll.PALO.DATAC("jedoxtest/EU_PM_CUBE02","EUPM_Mittel2_Cube",Datenstand,"Alle Beteiligungen","Alle Koordinatoren","Alle Unternehmensgrößen","-2","Alle Organisationstypen",28,"Alle Expertevaluierungsstatus",$B16,"-2",M$4,"-2","Alle","-2","anzahl_beteiligungen")</f>
        <v>745</v>
      </c>
    </row>
    <row r="17" spans="1:13" ht="15" customHeight="1">
      <c r="B17" t="s">
        <v>149</v>
      </c>
      <c r="C17" s="474" t="str">
        <f ca="1">_xll.PALO.DATA("jedoxtest/EU_PM_CUBE02","#_Programme","Langbezeichnung",$B17)</f>
        <v>Climate, Energy and Mobility</v>
      </c>
      <c r="D17" s="226">
        <f ca="1">_xll.PALO.DATAC("jedoxtest/EU_PM_CUBE02","EUPM_Mittel2_Cube",Datenstand,"Alle Beteiligungen","Alle Koordinatoren","Alle Unternehmensgrößen","-2","Alle Organisationstypen",28,"Alle Expertevaluierungsstatus",$B17,"-2",D$4,"-2","Alle","-2","anzahl_beteiligungen")</f>
        <v>9</v>
      </c>
      <c r="E17" s="226">
        <f ca="1">_xll.PALO.DATAC("jedoxtest/EU_PM_CUBE02","EUPM_Mittel2_Cube",Datenstand,"Alle Beteiligungen","Alle Koordinatoren","Alle Unternehmensgrößen","-2","Alle Organisationstypen",28,"Alle Expertevaluierungsstatus",$B17,"-2",E$4,"-2","Alle","-2","anzahl_beteiligungen")</f>
        <v>31</v>
      </c>
      <c r="F17" s="226">
        <f ca="1">_xll.PALO.DATAC("jedoxtest/EU_PM_CUBE02","EUPM_Mittel2_Cube",Datenstand,"Alle Beteiligungen","Alle Koordinatoren","Alle Unternehmensgrößen","-2","Alle Organisationstypen",28,"Alle Expertevaluierungsstatus",$B17,"-2",F$4,"-2","Alle","-2","anzahl_beteiligungen")</f>
        <v>74</v>
      </c>
      <c r="G17" s="226">
        <f ca="1">_xll.PALO.DATAC("jedoxtest/EU_PM_CUBE02","EUPM_Mittel2_Cube",Datenstand,"Alle Beteiligungen","Alle Koordinatoren","Alle Unternehmensgrößen","-2","Alle Organisationstypen",28,"Alle Expertevaluierungsstatus",$B17,"-2",G$4,"-2","Alle","-2","anzahl_beteiligungen")</f>
        <v>54</v>
      </c>
      <c r="H17" s="226">
        <f ca="1">_xll.PALO.DATAC("jedoxtest/EU_PM_CUBE02","EUPM_Mittel2_Cube",Datenstand,"Alle Beteiligungen","Alle Koordinatoren","Alle Unternehmensgrößen","-2","Alle Organisationstypen",28,"Alle Expertevaluierungsstatus",$B17,"-2",H$4,"-2","Alle","-2","anzahl_beteiligungen")</f>
        <v>10</v>
      </c>
      <c r="I17" s="226">
        <f ca="1">_xll.PALO.DATAC("jedoxtest/EU_PM_CUBE02","EUPM_Mittel2_Cube",Datenstand,"Alle Beteiligungen","Alle Koordinatoren","Alle Unternehmensgrößen","-2","Alle Organisationstypen",28,"Alle Expertevaluierungsstatus",$B17,"-2",I$4,"-2","Alle","-2","anzahl_beteiligungen")</f>
        <v>196</v>
      </c>
      <c r="J17" s="226">
        <f ca="1">_xll.PALO.DATAC("jedoxtest/EU_PM_CUBE02","EUPM_Mittel2_Cube",Datenstand,"Alle Beteiligungen","Alle Koordinatoren","Alle Unternehmensgrößen","-2","Alle Organisationstypen",28,"Alle Expertevaluierungsstatus",$B17,"-2",J$4,"-2","Alle","-2","anzahl_beteiligungen")</f>
        <v>34</v>
      </c>
      <c r="K17" s="226">
        <f ca="1">_xll.PALO.DATAC("jedoxtest/EU_PM_CUBE02","EUPM_Mittel2_Cube",Datenstand,"Alle Beteiligungen","Alle Koordinatoren","Alle Unternehmensgrößen","-2","Alle Organisationstypen",28,"Alle Expertevaluierungsstatus",$B17,"-2",K$4,"-2","Alle","-2","anzahl_beteiligungen")</f>
        <v>5</v>
      </c>
      <c r="L17" s="226">
        <f ca="1">_xll.PALO.DATAC("jedoxtest/EU_PM_CUBE02","EUPM_Mittel2_Cube",Datenstand,"Alle Beteiligungen","Alle Koordinatoren","Alle Unternehmensgrößen","-2","Alle Organisationstypen",28,"Alle Expertevaluierungsstatus",$B17,"-2",L$4,"-2","Alle","-2","anzahl_beteiligungen")</f>
        <v>370</v>
      </c>
      <c r="M17" s="226">
        <f ca="1">_xll.PALO.DATAC("jedoxtest/EU_PM_CUBE02","EUPM_Mittel2_Cube",Datenstand,"Alle Beteiligungen","Alle Koordinatoren","Alle Unternehmensgrößen","-2","Alle Organisationstypen",28,"Alle Expertevaluierungsstatus",$B17,"-2",M$4,"-2","Alle","-2","anzahl_beteiligungen")</f>
        <v>783</v>
      </c>
    </row>
    <row r="18" spans="1:13" ht="30" customHeight="1">
      <c r="B18" t="s">
        <v>150</v>
      </c>
      <c r="C18" s="474"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Organisationstypen",28,"Alle Expertevaluierungsstatus",$B18,"-2",D$4,"-2","Alle","-2","anzahl_beteiligungen")</f>
        <v>4</v>
      </c>
      <c r="E18" s="226">
        <f ca="1">_xll.PALO.DATAC("jedoxtest/EU_PM_CUBE02","EUPM_Mittel2_Cube",Datenstand,"Alle Beteiligungen","Alle Koordinatoren","Alle Unternehmensgrößen","-2","Alle Organisationstypen",28,"Alle Expertevaluierungsstatus",$B18,"-2",E$4,"-2","Alle","-2","anzahl_beteiligungen")</f>
        <v>9</v>
      </c>
      <c r="F18" s="226">
        <f ca="1">_xll.PALO.DATAC("jedoxtest/EU_PM_CUBE02","EUPM_Mittel2_Cube",Datenstand,"Alle Beteiligungen","Alle Koordinatoren","Alle Unternehmensgrößen","-2","Alle Organisationstypen",28,"Alle Expertevaluierungsstatus",$B18,"-2",F$4,"-2","Alle","-2","anzahl_beteiligungen")</f>
        <v>70</v>
      </c>
      <c r="G18" s="226">
        <f ca="1">_xll.PALO.DATAC("jedoxtest/EU_PM_CUBE02","EUPM_Mittel2_Cube",Datenstand,"Alle Beteiligungen","Alle Koordinatoren","Alle Unternehmensgrößen","-2","Alle Organisationstypen",28,"Alle Expertevaluierungsstatus",$B18,"-2",G$4,"-2","Alle","-2","anzahl_beteiligungen")</f>
        <v>28</v>
      </c>
      <c r="H18" s="226">
        <f ca="1">_xll.PALO.DATAC("jedoxtest/EU_PM_CUBE02","EUPM_Mittel2_Cube",Datenstand,"Alle Beteiligungen","Alle Koordinatoren","Alle Unternehmensgrößen","-2","Alle Organisationstypen",28,"Alle Expertevaluierungsstatus",$B18,"-2",H$4,"-2","Alle","-2","anzahl_beteiligungen")</f>
        <v>4</v>
      </c>
      <c r="I18" s="226">
        <f ca="1">_xll.PALO.DATAC("jedoxtest/EU_PM_CUBE02","EUPM_Mittel2_Cube",Datenstand,"Alle Beteiligungen","Alle Koordinatoren","Alle Unternehmensgrößen","-2","Alle Organisationstypen",28,"Alle Expertevaluierungsstatus",$B18,"-2",I$4,"-2","Alle","-2","anzahl_beteiligungen")</f>
        <v>51</v>
      </c>
      <c r="J18" s="226">
        <f ca="1">_xll.PALO.DATAC("jedoxtest/EU_PM_CUBE02","EUPM_Mittel2_Cube",Datenstand,"Alle Beteiligungen","Alle Koordinatoren","Alle Unternehmensgrößen","-2","Alle Organisationstypen",28,"Alle Expertevaluierungsstatus",$B18,"-2",J$4,"-2","Alle","-2","anzahl_beteiligungen")</f>
        <v>10</v>
      </c>
      <c r="K18" s="226">
        <f ca="1">_xll.PALO.DATAC("jedoxtest/EU_PM_CUBE02","EUPM_Mittel2_Cube",Datenstand,"Alle Beteiligungen","Alle Koordinatoren","Alle Unternehmensgrößen","-2","Alle Organisationstypen",28,"Alle Expertevaluierungsstatus",$B18,"-2",K$4,"-2","Alle","-2","anzahl_beteiligungen")</f>
        <v>2</v>
      </c>
      <c r="L18" s="226">
        <f ca="1">_xll.PALO.DATAC("jedoxtest/EU_PM_CUBE02","EUPM_Mittel2_Cube",Datenstand,"Alle Beteiligungen","Alle Koordinatoren","Alle Unternehmensgrößen","-2","Alle Organisationstypen",28,"Alle Expertevaluierungsstatus",$B18,"-2",L$4,"-2","Alle","-2","anzahl_beteiligungen")</f>
        <v>261</v>
      </c>
      <c r="M18" s="226">
        <f ca="1">_xll.PALO.DATAC("jedoxtest/EU_PM_CUBE02","EUPM_Mittel2_Cube",Datenstand,"Alle Beteiligungen","Alle Koordinatoren","Alle Unternehmensgrößen","-2","Alle Organisationstypen",28,"Alle Expertevaluierungsstatus",$B18,"-2",M$4,"-2","Alle","-2","anzahl_beteiligungen")</f>
        <v>439</v>
      </c>
    </row>
    <row r="19" spans="1:13" ht="15" customHeight="1">
      <c r="B19" t="s">
        <v>151</v>
      </c>
      <c r="C19" s="368" t="str">
        <f ca="1">_xll.PALO.DATA("jedoxtest/EU_PM_CUBE02","#_Programme","Langbezeichnung",$B19)</f>
        <v>Innovative Europe</v>
      </c>
      <c r="D19" s="226">
        <f ca="1">_xll.PALO.DATAC("jedoxtest/EU_PM_CUBE02","EUPM_Mittel2_Cube",Datenstand,"Alle Beteiligungen","Alle Koordinatoren","Alle Unternehmensgrößen","-2","Alle Organisationstypen",28,"Alle Expertevaluierungsstatus",$B19,"-2",D$4,"-2","Alle","-2","anzahl_beteiligungen")</f>
        <v>1</v>
      </c>
      <c r="E19" s="226">
        <f ca="1">_xll.PALO.DATAC("jedoxtest/EU_PM_CUBE02","EUPM_Mittel2_Cube",Datenstand,"Alle Beteiligungen","Alle Koordinatoren","Alle Unternehmensgrößen","-2","Alle Organisationstypen",28,"Alle Expertevaluierungsstatus",$B19,"-2",E$4,"-2","Alle","-2","anzahl_beteiligungen")</f>
        <v>2</v>
      </c>
      <c r="F19" s="226">
        <f ca="1">_xll.PALO.DATAC("jedoxtest/EU_PM_CUBE02","EUPM_Mittel2_Cube",Datenstand,"Alle Beteiligungen","Alle Koordinatoren","Alle Unternehmensgrößen","-2","Alle Organisationstypen",28,"Alle Expertevaluierungsstatus",$B19,"-2",F$4,"-2","Alle","-2","anzahl_beteiligungen")</f>
        <v>29</v>
      </c>
      <c r="G19" s="226">
        <f ca="1">_xll.PALO.DATAC("jedoxtest/EU_PM_CUBE02","EUPM_Mittel2_Cube",Datenstand,"Alle Beteiligungen","Alle Koordinatoren","Alle Unternehmensgrößen","-2","Alle Organisationstypen",28,"Alle Expertevaluierungsstatus",$B19,"-2",G$4,"-2","Alle","-2","anzahl_beteiligungen")</f>
        <v>13</v>
      </c>
      <c r="H19" s="226">
        <f ca="1">_xll.PALO.DATAC("jedoxtest/EU_PM_CUBE02","EUPM_Mittel2_Cube",Datenstand,"Alle Beteiligungen","Alle Koordinatoren","Alle Unternehmensgrößen","-2","Alle Organisationstypen",28,"Alle Expertevaluierungsstatus",$B19,"-2",H$4,"-2","Alle","-2","anzahl_beteiligungen")</f>
        <v>3</v>
      </c>
      <c r="I19" s="226">
        <f ca="1">_xll.PALO.DATAC("jedoxtest/EU_PM_CUBE02","EUPM_Mittel2_Cube",Datenstand,"Alle Beteiligungen","Alle Koordinatoren","Alle Unternehmensgrößen","-2","Alle Organisationstypen",28,"Alle Expertevaluierungsstatus",$B19,"-2",I$4,"-2","Alle","-2","anzahl_beteiligungen")</f>
        <v>40</v>
      </c>
      <c r="J19" s="226">
        <f ca="1">_xll.PALO.DATAC("jedoxtest/EU_PM_CUBE02","EUPM_Mittel2_Cube",Datenstand,"Alle Beteiligungen","Alle Koordinatoren","Alle Unternehmensgrößen","-2","Alle Organisationstypen",28,"Alle Expertevaluierungsstatus",$B19,"-2",J$4,"-2","Alle","-2","anzahl_beteiligungen")</f>
        <v>8</v>
      </c>
      <c r="K19" s="226">
        <f ca="1">_xll.PALO.DATAC("jedoxtest/EU_PM_CUBE02","EUPM_Mittel2_Cube",Datenstand,"Alle Beteiligungen","Alle Koordinatoren","Alle Unternehmensgrößen","-2","Alle Organisationstypen",28,"Alle Expertevaluierungsstatus",$B19,"-2",K$4,"-2","Alle","-2","anzahl_beteiligungen")</f>
        <v>0</v>
      </c>
      <c r="L19" s="226">
        <f ca="1">_xll.PALO.DATAC("jedoxtest/EU_PM_CUBE02","EUPM_Mittel2_Cube",Datenstand,"Alle Beteiligungen","Alle Koordinatoren","Alle Unternehmensgrößen","-2","Alle Organisationstypen",28,"Alle Expertevaluierungsstatus",$B19,"-2",L$4,"-2","Alle","-2","anzahl_beteiligungen")</f>
        <v>73</v>
      </c>
      <c r="M19" s="226">
        <f ca="1">_xll.PALO.DATAC("jedoxtest/EU_PM_CUBE02","EUPM_Mittel2_Cube",Datenstand,"Alle Beteiligungen","Alle Koordinatoren","Alle Unternehmensgrößen","-2","Alle Organisationstypen",28,"Alle Expertevaluierungsstatus",$B19,"-2",M$4,"-2","Alle","-2","anzahl_beteiligungen")</f>
        <v>169</v>
      </c>
    </row>
    <row r="20" spans="1:13" ht="15" customHeight="1">
      <c r="B20" t="s">
        <v>152</v>
      </c>
      <c r="C20" s="474" t="str">
        <f ca="1">_xll.PALO.DATA("jedoxtest/EU_PM_CUBE02","#_Programme","Langbezeichnung",$B20)</f>
        <v>The European Innovation Council (EIC)</v>
      </c>
      <c r="D20" s="226">
        <f ca="1">_xll.PALO.DATAC("jedoxtest/EU_PM_CUBE02","EUPM_Mittel2_Cube",Datenstand,"Alle Beteiligungen","Alle Koordinatoren","Alle Unternehmensgrößen","-2","Alle Organisationstypen",28,"Alle Expertevaluierungsstatus",$B20,"-2",D$4,"-2","Alle","-2","anzahl_beteiligungen")</f>
        <v>0</v>
      </c>
      <c r="E20" s="226">
        <f ca="1">_xll.PALO.DATAC("jedoxtest/EU_PM_CUBE02","EUPM_Mittel2_Cube",Datenstand,"Alle Beteiligungen","Alle Koordinatoren","Alle Unternehmensgrößen","-2","Alle Organisationstypen",28,"Alle Expertevaluierungsstatus",$B20,"-2",E$4,"-2","Alle","-2","anzahl_beteiligungen")</f>
        <v>2</v>
      </c>
      <c r="F20" s="226">
        <f ca="1">_xll.PALO.DATAC("jedoxtest/EU_PM_CUBE02","EUPM_Mittel2_Cube",Datenstand,"Alle Beteiligungen","Alle Koordinatoren","Alle Unternehmensgrößen","-2","Alle Organisationstypen",28,"Alle Expertevaluierungsstatus",$B20,"-2",F$4,"-2","Alle","-2","anzahl_beteiligungen")</f>
        <v>24</v>
      </c>
      <c r="G20" s="226">
        <f ca="1">_xll.PALO.DATAC("jedoxtest/EU_PM_CUBE02","EUPM_Mittel2_Cube",Datenstand,"Alle Beteiligungen","Alle Koordinatoren","Alle Unternehmensgrößen","-2","Alle Organisationstypen",28,"Alle Expertevaluierungsstatus",$B20,"-2",G$4,"-2","Alle","-2","anzahl_beteiligungen")</f>
        <v>12</v>
      </c>
      <c r="H20" s="226">
        <f ca="1">_xll.PALO.DATAC("jedoxtest/EU_PM_CUBE02","EUPM_Mittel2_Cube",Datenstand,"Alle Beteiligungen","Alle Koordinatoren","Alle Unternehmensgrößen","-2","Alle Organisationstypen",28,"Alle Expertevaluierungsstatus",$B20,"-2",H$4,"-2","Alle","-2","anzahl_beteiligungen")</f>
        <v>3</v>
      </c>
      <c r="I20" s="226">
        <f ca="1">_xll.PALO.DATAC("jedoxtest/EU_PM_CUBE02","EUPM_Mittel2_Cube",Datenstand,"Alle Beteiligungen","Alle Koordinatoren","Alle Unternehmensgrößen","-2","Alle Organisationstypen",28,"Alle Expertevaluierungsstatus",$B20,"-2",I$4,"-2","Alle","-2","anzahl_beteiligungen")</f>
        <v>37</v>
      </c>
      <c r="J20" s="226">
        <f ca="1">_xll.PALO.DATAC("jedoxtest/EU_PM_CUBE02","EUPM_Mittel2_Cube",Datenstand,"Alle Beteiligungen","Alle Koordinatoren","Alle Unternehmensgrößen","-2","Alle Organisationstypen",28,"Alle Expertevaluierungsstatus",$B20,"-2",J$4,"-2","Alle","-2","anzahl_beteiligungen")</f>
        <v>8</v>
      </c>
      <c r="K20" s="226">
        <f ca="1">_xll.PALO.DATAC("jedoxtest/EU_PM_CUBE02","EUPM_Mittel2_Cube",Datenstand,"Alle Beteiligungen","Alle Koordinatoren","Alle Unternehmensgrößen","-2","Alle Organisationstypen",28,"Alle Expertevaluierungsstatus",$B20,"-2",K$4,"-2","Alle","-2","anzahl_beteiligungen")</f>
        <v>0</v>
      </c>
      <c r="L20" s="226">
        <f ca="1">_xll.PALO.DATAC("jedoxtest/EU_PM_CUBE02","EUPM_Mittel2_Cube",Datenstand,"Alle Beteiligungen","Alle Koordinatoren","Alle Unternehmensgrößen","-2","Alle Organisationstypen",28,"Alle Expertevaluierungsstatus",$B20,"-2",L$4,"-2","Alle","-2","anzahl_beteiligungen")</f>
        <v>56</v>
      </c>
      <c r="M20" s="226">
        <f ca="1">_xll.PALO.DATAC("jedoxtest/EU_PM_CUBE02","EUPM_Mittel2_Cube",Datenstand,"Alle Beteiligungen","Alle Koordinatoren","Alle Unternehmensgrößen","-2","Alle Organisationstypen",28,"Alle Expertevaluierungsstatus",$B20,"-2",M$4,"-2","Alle","-2","anzahl_beteiligungen")</f>
        <v>142</v>
      </c>
    </row>
    <row r="21" spans="1:13" ht="15" customHeight="1">
      <c r="B21" t="s">
        <v>153</v>
      </c>
      <c r="C21" s="474" t="str">
        <f ca="1">_xll.PALO.DATA("jedoxtest/EU_PM_CUBE02","#_Programme","Langbezeichnung",$B21)</f>
        <v>European innovation ecosystems</v>
      </c>
      <c r="D21" s="226">
        <f ca="1">_xll.PALO.DATAC("jedoxtest/EU_PM_CUBE02","EUPM_Mittel2_Cube",Datenstand,"Alle Beteiligungen","Alle Koordinatoren","Alle Unternehmensgrößen","-2","Alle Organisationstypen",28,"Alle Expertevaluierungsstatus",$B21,"-2",D$4,"-2","Alle","-2","anzahl_beteiligungen")</f>
        <v>1</v>
      </c>
      <c r="E21" s="226">
        <f ca="1">_xll.PALO.DATAC("jedoxtest/EU_PM_CUBE02","EUPM_Mittel2_Cube",Datenstand,"Alle Beteiligungen","Alle Koordinatoren","Alle Unternehmensgrößen","-2","Alle Organisationstypen",28,"Alle Expertevaluierungsstatus",$B21,"-2",E$4,"-2","Alle","-2","anzahl_beteiligungen")</f>
        <v>0</v>
      </c>
      <c r="F21" s="226">
        <f ca="1">_xll.PALO.DATAC("jedoxtest/EU_PM_CUBE02","EUPM_Mittel2_Cube",Datenstand,"Alle Beteiligungen","Alle Koordinatoren","Alle Unternehmensgrößen","-2","Alle Organisationstypen",28,"Alle Expertevaluierungsstatus",$B21,"-2",F$4,"-2","Alle","-2","anzahl_beteiligungen")</f>
        <v>5</v>
      </c>
      <c r="G21" s="226">
        <f ca="1">_xll.PALO.DATAC("jedoxtest/EU_PM_CUBE02","EUPM_Mittel2_Cube",Datenstand,"Alle Beteiligungen","Alle Koordinatoren","Alle Unternehmensgrößen","-2","Alle Organisationstypen",28,"Alle Expertevaluierungsstatus",$B21,"-2",G$4,"-2","Alle","-2","anzahl_beteiligungen")</f>
        <v>1</v>
      </c>
      <c r="H21" s="226">
        <f ca="1">_xll.PALO.DATAC("jedoxtest/EU_PM_CUBE02","EUPM_Mittel2_Cube",Datenstand,"Alle Beteiligungen","Alle Koordinatoren","Alle Unternehmensgrößen","-2","Alle Organisationstypen",28,"Alle Expertevaluierungsstatus",$B21,"-2",H$4,"-2","Alle","-2","anzahl_beteiligungen")</f>
        <v>0</v>
      </c>
      <c r="I21" s="226">
        <f ca="1">_xll.PALO.DATAC("jedoxtest/EU_PM_CUBE02","EUPM_Mittel2_Cube",Datenstand,"Alle Beteiligungen","Alle Koordinatoren","Alle Unternehmensgrößen","-2","Alle Organisationstypen",28,"Alle Expertevaluierungsstatus",$B21,"-2",I$4,"-2","Alle","-2","anzahl_beteiligungen")</f>
        <v>3</v>
      </c>
      <c r="J21" s="226">
        <f ca="1">_xll.PALO.DATAC("jedoxtest/EU_PM_CUBE02","EUPM_Mittel2_Cube",Datenstand,"Alle Beteiligungen","Alle Koordinatoren","Alle Unternehmensgrößen","-2","Alle Organisationstypen",28,"Alle Expertevaluierungsstatus",$B21,"-2",J$4,"-2","Alle","-2","anzahl_beteiligungen")</f>
        <v>0</v>
      </c>
      <c r="K21" s="226">
        <f ca="1">_xll.PALO.DATAC("jedoxtest/EU_PM_CUBE02","EUPM_Mittel2_Cube",Datenstand,"Alle Beteiligungen","Alle Koordinatoren","Alle Unternehmensgrößen","-2","Alle Organisationstypen",28,"Alle Expertevaluierungsstatus",$B21,"-2",K$4,"-2","Alle","-2","anzahl_beteiligungen")</f>
        <v>0</v>
      </c>
      <c r="L21" s="226">
        <f ca="1">_xll.PALO.DATAC("jedoxtest/EU_PM_CUBE02","EUPM_Mittel2_Cube",Datenstand,"Alle Beteiligungen","Alle Koordinatoren","Alle Unternehmensgrößen","-2","Alle Organisationstypen",28,"Alle Expertevaluierungsstatus",$B21,"-2",L$4,"-2","Alle","-2","anzahl_beteiligungen")</f>
        <v>9</v>
      </c>
      <c r="M21" s="226">
        <f ca="1">_xll.PALO.DATAC("jedoxtest/EU_PM_CUBE02","EUPM_Mittel2_Cube",Datenstand,"Alle Beteiligungen","Alle Koordinatoren","Alle Unternehmensgrößen","-2","Alle Organisationstypen",28,"Alle Expertevaluierungsstatus",$B21,"-2",M$4,"-2","Alle","-2","anzahl_beteiligungen")</f>
        <v>19</v>
      </c>
    </row>
    <row r="22" spans="1:13" ht="30" customHeight="1">
      <c r="B22" t="s">
        <v>154</v>
      </c>
      <c r="C22" s="474"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Organisationstypen",28,"Alle Expertevaluierungsstatus",$B22,"-2",D$4,"-2","Alle","-2","anzahl_beteiligungen")</f>
        <v>0</v>
      </c>
      <c r="E22" s="226">
        <f ca="1">_xll.PALO.DATAC("jedoxtest/EU_PM_CUBE02","EUPM_Mittel2_Cube",Datenstand,"Alle Beteiligungen","Alle Koordinatoren","Alle Unternehmensgrößen","-2","Alle Organisationstypen",28,"Alle Expertevaluierungsstatus",$B22,"-2",E$4,"-2","Alle","-2","anzahl_beteiligungen")</f>
        <v>0</v>
      </c>
      <c r="F22" s="226">
        <f ca="1">_xll.PALO.DATAC("jedoxtest/EU_PM_CUBE02","EUPM_Mittel2_Cube",Datenstand,"Alle Beteiligungen","Alle Koordinatoren","Alle Unternehmensgrößen","-2","Alle Organisationstypen",28,"Alle Expertevaluierungsstatus",$B22,"-2",F$4,"-2","Alle","-2","anzahl_beteiligungen")</f>
        <v>0</v>
      </c>
      <c r="G22" s="226">
        <f ca="1">_xll.PALO.DATAC("jedoxtest/EU_PM_CUBE02","EUPM_Mittel2_Cube",Datenstand,"Alle Beteiligungen","Alle Koordinatoren","Alle Unternehmensgrößen","-2","Alle Organisationstypen",28,"Alle Expertevaluierungsstatus",$B22,"-2",G$4,"-2","Alle","-2","anzahl_beteiligungen")</f>
        <v>0</v>
      </c>
      <c r="H22" s="226">
        <f ca="1">_xll.PALO.DATAC("jedoxtest/EU_PM_CUBE02","EUPM_Mittel2_Cube",Datenstand,"Alle Beteiligungen","Alle Koordinatoren","Alle Unternehmensgrößen","-2","Alle Organisationstypen",28,"Alle Expertevaluierungsstatus",$B22,"-2",H$4,"-2","Alle","-2","anzahl_beteiligungen")</f>
        <v>0</v>
      </c>
      <c r="I22" s="226">
        <f ca="1">_xll.PALO.DATAC("jedoxtest/EU_PM_CUBE02","EUPM_Mittel2_Cube",Datenstand,"Alle Beteiligungen","Alle Koordinatoren","Alle Unternehmensgrößen","-2","Alle Organisationstypen",28,"Alle Expertevaluierungsstatus",$B22,"-2",I$4,"-2","Alle","-2","anzahl_beteiligungen")</f>
        <v>0</v>
      </c>
      <c r="J22" s="226">
        <f ca="1">_xll.PALO.DATAC("jedoxtest/EU_PM_CUBE02","EUPM_Mittel2_Cube",Datenstand,"Alle Beteiligungen","Alle Koordinatoren","Alle Unternehmensgrößen","-2","Alle Organisationstypen",28,"Alle Expertevaluierungsstatus",$B22,"-2",J$4,"-2","Alle","-2","anzahl_beteiligungen")</f>
        <v>0</v>
      </c>
      <c r="K22" s="226">
        <f ca="1">_xll.PALO.DATAC("jedoxtest/EU_PM_CUBE02","EUPM_Mittel2_Cube",Datenstand,"Alle Beteiligungen","Alle Koordinatoren","Alle Unternehmensgrößen","-2","Alle Organisationstypen",28,"Alle Expertevaluierungsstatus",$B22,"-2",K$4,"-2","Alle","-2","anzahl_beteiligungen")</f>
        <v>0</v>
      </c>
      <c r="L22" s="226">
        <f ca="1">_xll.PALO.DATAC("jedoxtest/EU_PM_CUBE02","EUPM_Mittel2_Cube",Datenstand,"Alle Beteiligungen","Alle Koordinatoren","Alle Unternehmensgrößen","-2","Alle Organisationstypen",28,"Alle Expertevaluierungsstatus",$B22,"-2",L$4,"-2","Alle","-2","anzahl_beteiligungen")</f>
        <v>8</v>
      </c>
      <c r="M22" s="226">
        <f ca="1">_xll.PALO.DATAC("jedoxtest/EU_PM_CUBE02","EUPM_Mittel2_Cube",Datenstand,"Alle Beteiligungen","Alle Koordinatoren","Alle Unternehmensgrößen","-2","Alle Organisationstypen",28,"Alle Expertevaluierungsstatus",$B22,"-2",M$4,"-2","Alle","-2","anzahl_beteiligungen")</f>
        <v>8</v>
      </c>
    </row>
    <row r="23" spans="1:13" ht="30" customHeight="1">
      <c r="B23" t="s">
        <v>155</v>
      </c>
      <c r="C23" s="368" t="str">
        <f ca="1">_xll.PALO.DATA("jedoxtest/EU_PM_CUBE02","#_Programme","Langbezeichnung",$B23)</f>
        <v>Widening Participation and Strengthening the European Research Area</v>
      </c>
      <c r="D23" s="226">
        <f ca="1">_xll.PALO.DATAC("jedoxtest/EU_PM_CUBE02","EUPM_Mittel2_Cube",Datenstand,"Alle Beteiligungen","Alle Koordinatoren","Alle Unternehmensgrößen","-2","Alle Organisationstypen",28,"Alle Expertevaluierungsstatus",$B23,"-2",D$4,"-2","Alle","-2","anzahl_beteiligungen")</f>
        <v>0</v>
      </c>
      <c r="E23" s="226">
        <f ca="1">_xll.PALO.DATAC("jedoxtest/EU_PM_CUBE02","EUPM_Mittel2_Cube",Datenstand,"Alle Beteiligungen","Alle Koordinatoren","Alle Unternehmensgrößen","-2","Alle Organisationstypen",28,"Alle Expertevaluierungsstatus",$B23,"-2",E$4,"-2","Alle","-2","anzahl_beteiligungen")</f>
        <v>2</v>
      </c>
      <c r="F23" s="226">
        <f ca="1">_xll.PALO.DATAC("jedoxtest/EU_PM_CUBE02","EUPM_Mittel2_Cube",Datenstand,"Alle Beteiligungen","Alle Koordinatoren","Alle Unternehmensgrößen","-2","Alle Organisationstypen",28,"Alle Expertevaluierungsstatus",$B23,"-2",F$4,"-2","Alle","-2","anzahl_beteiligungen")</f>
        <v>9</v>
      </c>
      <c r="G23" s="226">
        <f ca="1">_xll.PALO.DATAC("jedoxtest/EU_PM_CUBE02","EUPM_Mittel2_Cube",Datenstand,"Alle Beteiligungen","Alle Koordinatoren","Alle Unternehmensgrößen","-2","Alle Organisationstypen",28,"Alle Expertevaluierungsstatus",$B23,"-2",G$4,"-2","Alle","-2","anzahl_beteiligungen")</f>
        <v>8</v>
      </c>
      <c r="H23" s="226">
        <f ca="1">_xll.PALO.DATAC("jedoxtest/EU_PM_CUBE02","EUPM_Mittel2_Cube",Datenstand,"Alle Beteiligungen","Alle Koordinatoren","Alle Unternehmensgrößen","-2","Alle Organisationstypen",28,"Alle Expertevaluierungsstatus",$B23,"-2",H$4,"-2","Alle","-2","anzahl_beteiligungen")</f>
        <v>0</v>
      </c>
      <c r="I23" s="226">
        <f ca="1">_xll.PALO.DATAC("jedoxtest/EU_PM_CUBE02","EUPM_Mittel2_Cube",Datenstand,"Alle Beteiligungen","Alle Koordinatoren","Alle Unternehmensgrößen","-2","Alle Organisationstypen",28,"Alle Expertevaluierungsstatus",$B23,"-2",I$4,"-2","Alle","-2","anzahl_beteiligungen")</f>
        <v>21</v>
      </c>
      <c r="J23" s="226">
        <f ca="1">_xll.PALO.DATAC("jedoxtest/EU_PM_CUBE02","EUPM_Mittel2_Cube",Datenstand,"Alle Beteiligungen","Alle Koordinatoren","Alle Unternehmensgrößen","-2","Alle Organisationstypen",28,"Alle Expertevaluierungsstatus",$B23,"-2",J$4,"-2","Alle","-2","anzahl_beteiligungen")</f>
        <v>1</v>
      </c>
      <c r="K23" s="226">
        <f ca="1">_xll.PALO.DATAC("jedoxtest/EU_PM_CUBE02","EUPM_Mittel2_Cube",Datenstand,"Alle Beteiligungen","Alle Koordinatoren","Alle Unternehmensgrößen","-2","Alle Organisationstypen",28,"Alle Expertevaluierungsstatus",$B23,"-2",K$4,"-2","Alle","-2","anzahl_beteiligungen")</f>
        <v>0</v>
      </c>
      <c r="L23" s="226">
        <f ca="1">_xll.PALO.DATAC("jedoxtest/EU_PM_CUBE02","EUPM_Mittel2_Cube",Datenstand,"Alle Beteiligungen","Alle Koordinatoren","Alle Unternehmensgrößen","-2","Alle Organisationstypen",28,"Alle Expertevaluierungsstatus",$B23,"-2",L$4,"-2","Alle","-2","anzahl_beteiligungen")</f>
        <v>69</v>
      </c>
      <c r="M23" s="226">
        <f ca="1">_xll.PALO.DATAC("jedoxtest/EU_PM_CUBE02","EUPM_Mittel2_Cube",Datenstand,"Alle Beteiligungen","Alle Koordinatoren","Alle Unternehmensgrößen","-2","Alle Organisationstypen",28,"Alle Expertevaluierungsstatus",$B23,"-2",M$4,"-2","Alle","-2","anzahl_beteiligungen")</f>
        <v>110</v>
      </c>
    </row>
    <row r="24" spans="1:13" ht="30" customHeight="1">
      <c r="B24" t="s">
        <v>156</v>
      </c>
      <c r="C24" s="474"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Organisationstypen",28,"Alle Expertevaluierungsstatus",$B24,"-2",D$4,"-2","Alle","-2","anzahl_beteiligungen")</f>
        <v>0</v>
      </c>
      <c r="E24" s="226">
        <f ca="1">_xll.PALO.DATAC("jedoxtest/EU_PM_CUBE02","EUPM_Mittel2_Cube",Datenstand,"Alle Beteiligungen","Alle Koordinatoren","Alle Unternehmensgrößen","-2","Alle Organisationstypen",28,"Alle Expertevaluierungsstatus",$B24,"-2",E$4,"-2","Alle","-2","anzahl_beteiligungen")</f>
        <v>2</v>
      </c>
      <c r="F24" s="226">
        <f ca="1">_xll.PALO.DATAC("jedoxtest/EU_PM_CUBE02","EUPM_Mittel2_Cube",Datenstand,"Alle Beteiligungen","Alle Koordinatoren","Alle Unternehmensgrößen","-2","Alle Organisationstypen",28,"Alle Expertevaluierungsstatus",$B24,"-2",F$4,"-2","Alle","-2","anzahl_beteiligungen")</f>
        <v>4</v>
      </c>
      <c r="G24" s="226">
        <f ca="1">_xll.PALO.DATAC("jedoxtest/EU_PM_CUBE02","EUPM_Mittel2_Cube",Datenstand,"Alle Beteiligungen","Alle Koordinatoren","Alle Unternehmensgrößen","-2","Alle Organisationstypen",28,"Alle Expertevaluierungsstatus",$B24,"-2",G$4,"-2","Alle","-2","anzahl_beteiligungen")</f>
        <v>7</v>
      </c>
      <c r="H24" s="226">
        <f ca="1">_xll.PALO.DATAC("jedoxtest/EU_PM_CUBE02","EUPM_Mittel2_Cube",Datenstand,"Alle Beteiligungen","Alle Koordinatoren","Alle Unternehmensgrößen","-2","Alle Organisationstypen",28,"Alle Expertevaluierungsstatus",$B24,"-2",H$4,"-2","Alle","-2","anzahl_beteiligungen")</f>
        <v>0</v>
      </c>
      <c r="I24" s="226">
        <f ca="1">_xll.PALO.DATAC("jedoxtest/EU_PM_CUBE02","EUPM_Mittel2_Cube",Datenstand,"Alle Beteiligungen","Alle Koordinatoren","Alle Unternehmensgrößen","-2","Alle Organisationstypen",28,"Alle Expertevaluierungsstatus",$B24,"-2",I$4,"-2","Alle","-2","anzahl_beteiligungen")</f>
        <v>14</v>
      </c>
      <c r="J24" s="226">
        <f ca="1">_xll.PALO.DATAC("jedoxtest/EU_PM_CUBE02","EUPM_Mittel2_Cube",Datenstand,"Alle Beteiligungen","Alle Koordinatoren","Alle Unternehmensgrößen","-2","Alle Organisationstypen",28,"Alle Expertevaluierungsstatus",$B24,"-2",J$4,"-2","Alle","-2","anzahl_beteiligungen")</f>
        <v>1</v>
      </c>
      <c r="K24" s="226">
        <f ca="1">_xll.PALO.DATAC("jedoxtest/EU_PM_CUBE02","EUPM_Mittel2_Cube",Datenstand,"Alle Beteiligungen","Alle Koordinatoren","Alle Unternehmensgrößen","-2","Alle Organisationstypen",28,"Alle Expertevaluierungsstatus",$B24,"-2",K$4,"-2","Alle","-2","anzahl_beteiligungen")</f>
        <v>0</v>
      </c>
      <c r="L24" s="226">
        <f ca="1">_xll.PALO.DATAC("jedoxtest/EU_PM_CUBE02","EUPM_Mittel2_Cube",Datenstand,"Alle Beteiligungen","Alle Koordinatoren","Alle Unternehmensgrößen","-2","Alle Organisationstypen",28,"Alle Expertevaluierungsstatus",$B24,"-2",L$4,"-2","Alle","-2","anzahl_beteiligungen")</f>
        <v>37</v>
      </c>
      <c r="M24" s="226">
        <f ca="1">_xll.PALO.DATAC("jedoxtest/EU_PM_CUBE02","EUPM_Mittel2_Cube",Datenstand,"Alle Beteiligungen","Alle Koordinatoren","Alle Unternehmensgrößen","-2","Alle Organisationstypen",28,"Alle Expertevaluierungsstatus",$B24,"-2",M$4,"-2","Alle","-2","anzahl_beteiligungen")</f>
        <v>65</v>
      </c>
    </row>
    <row r="25" spans="1:13" ht="30" customHeight="1">
      <c r="B25" t="s">
        <v>157</v>
      </c>
      <c r="C25" s="474"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Organisationstypen",28,"Alle Expertevaluierungsstatus",$B25,"-2",D$4,"-2","Alle","-2","anzahl_beteiligungen")</f>
        <v>0</v>
      </c>
      <c r="E25" s="226">
        <f ca="1">_xll.PALO.DATAC("jedoxtest/EU_PM_CUBE02","EUPM_Mittel2_Cube",Datenstand,"Alle Beteiligungen","Alle Koordinatoren","Alle Unternehmensgrößen","-2","Alle Organisationstypen",28,"Alle Expertevaluierungsstatus",$B25,"-2",E$4,"-2","Alle","-2","anzahl_beteiligungen")</f>
        <v>0</v>
      </c>
      <c r="F25" s="226">
        <f ca="1">_xll.PALO.DATAC("jedoxtest/EU_PM_CUBE02","EUPM_Mittel2_Cube",Datenstand,"Alle Beteiligungen","Alle Koordinatoren","Alle Unternehmensgrößen","-2","Alle Organisationstypen",28,"Alle Expertevaluierungsstatus",$B25,"-2",F$4,"-2","Alle","-2","anzahl_beteiligungen")</f>
        <v>5</v>
      </c>
      <c r="G25" s="226">
        <f ca="1">_xll.PALO.DATAC("jedoxtest/EU_PM_CUBE02","EUPM_Mittel2_Cube",Datenstand,"Alle Beteiligungen","Alle Koordinatoren","Alle Unternehmensgrößen","-2","Alle Organisationstypen",28,"Alle Expertevaluierungsstatus",$B25,"-2",G$4,"-2","Alle","-2","anzahl_beteiligungen")</f>
        <v>1</v>
      </c>
      <c r="H25" s="226">
        <f ca="1">_xll.PALO.DATAC("jedoxtest/EU_PM_CUBE02","EUPM_Mittel2_Cube",Datenstand,"Alle Beteiligungen","Alle Koordinatoren","Alle Unternehmensgrößen","-2","Alle Organisationstypen",28,"Alle Expertevaluierungsstatus",$B25,"-2",H$4,"-2","Alle","-2","anzahl_beteiligungen")</f>
        <v>0</v>
      </c>
      <c r="I25" s="226">
        <f ca="1">_xll.PALO.DATAC("jedoxtest/EU_PM_CUBE02","EUPM_Mittel2_Cube",Datenstand,"Alle Beteiligungen","Alle Koordinatoren","Alle Unternehmensgrößen","-2","Alle Organisationstypen",28,"Alle Expertevaluierungsstatus",$B25,"-2",I$4,"-2","Alle","-2","anzahl_beteiligungen")</f>
        <v>7</v>
      </c>
      <c r="J25" s="226">
        <f ca="1">_xll.PALO.DATAC("jedoxtest/EU_PM_CUBE02","EUPM_Mittel2_Cube",Datenstand,"Alle Beteiligungen","Alle Koordinatoren","Alle Unternehmensgrößen","-2","Alle Organisationstypen",28,"Alle Expertevaluierungsstatus",$B25,"-2",J$4,"-2","Alle","-2","anzahl_beteiligungen")</f>
        <v>0</v>
      </c>
      <c r="K25" s="226">
        <f ca="1">_xll.PALO.DATAC("jedoxtest/EU_PM_CUBE02","EUPM_Mittel2_Cube",Datenstand,"Alle Beteiligungen","Alle Koordinatoren","Alle Unternehmensgrößen","-2","Alle Organisationstypen",28,"Alle Expertevaluierungsstatus",$B25,"-2",K$4,"-2","Alle","-2","anzahl_beteiligungen")</f>
        <v>0</v>
      </c>
      <c r="L25" s="226">
        <f ca="1">_xll.PALO.DATAC("jedoxtest/EU_PM_CUBE02","EUPM_Mittel2_Cube",Datenstand,"Alle Beteiligungen","Alle Koordinatoren","Alle Unternehmensgrößen","-2","Alle Organisationstypen",28,"Alle Expertevaluierungsstatus",$B25,"-2",L$4,"-2","Alle","-2","anzahl_beteiligungen")</f>
        <v>32</v>
      </c>
      <c r="M25" s="226">
        <f ca="1">_xll.PALO.DATAC("jedoxtest/EU_PM_CUBE02","EUPM_Mittel2_Cube",Datenstand,"Alle Beteiligungen","Alle Koordinatoren","Alle Unternehmensgrößen","-2","Alle Organisationstypen",28,"Alle Expertevaluierungsstatus",$B25,"-2",M$4,"-2","Alle","-2","anzahl_beteiligungen")</f>
        <v>45</v>
      </c>
    </row>
    <row r="26" spans="1:13" ht="15" hidden="1" customHeight="1">
      <c r="B26" t="s">
        <v>158</v>
      </c>
      <c r="C26" s="369" t="str">
        <f ca="1">_xll.PALO.DATA("jedoxtest/EU_PM_CUBE02","#_Programme","Langbezeichnung",$B26)</f>
        <v>Euratom</v>
      </c>
      <c r="D26" s="229">
        <f ca="1">_xll.PALO.DATAC("jedoxtest/EU_PM_CUBE02","EUPM_Mittel2_Cube",Datenstand,"Alle Beteiligungen","Alle Koordinatoren","Alle Unternehmensgrößen","-2","Alle Organisationstypen",28,"Alle Expertevaluierungsstatus",$B26,"-2",D$4,"-2","Alle","-2","anzahl_beteiligungen")</f>
        <v>0</v>
      </c>
      <c r="E26" s="229">
        <f ca="1">_xll.PALO.DATAC("jedoxtest/EU_PM_CUBE02","EUPM_Mittel2_Cube",Datenstand,"Alle Beteiligungen","Alle Koordinatoren","Alle Unternehmensgrößen","-2","Alle Organisationstypen",28,"Alle Expertevaluierungsstatus",$B26,"-2",E$4,"-2","Alle","-2","anzahl_beteiligungen")</f>
        <v>0</v>
      </c>
      <c r="F26" s="229">
        <f ca="1">_xll.PALO.DATAC("jedoxtest/EU_PM_CUBE02","EUPM_Mittel2_Cube",Datenstand,"Alle Beteiligungen","Alle Koordinatoren","Alle Unternehmensgrößen","-2","Alle Organisationstypen",28,"Alle Expertevaluierungsstatus",$B26,"-2",F$4,"-2","Alle","-2","anzahl_beteiligungen")</f>
        <v>0</v>
      </c>
      <c r="G26" s="229">
        <f ca="1">_xll.PALO.DATAC("jedoxtest/EU_PM_CUBE02","EUPM_Mittel2_Cube",Datenstand,"Alle Beteiligungen","Alle Koordinatoren","Alle Unternehmensgrößen","-2","Alle Organisationstypen",28,"Alle Expertevaluierungsstatus",$B26,"-2",G$4,"-2","Alle","-2","anzahl_beteiligungen")</f>
        <v>0</v>
      </c>
      <c r="H26" s="229">
        <f ca="1">_xll.PALO.DATAC("jedoxtest/EU_PM_CUBE02","EUPM_Mittel2_Cube",Datenstand,"Alle Beteiligungen","Alle Koordinatoren","Alle Unternehmensgrößen","-2","Alle Organisationstypen",28,"Alle Expertevaluierungsstatus",$B26,"-2",H$4,"-2","Alle","-2","anzahl_beteiligungen")</f>
        <v>0</v>
      </c>
      <c r="I26" s="229">
        <f ca="1">_xll.PALO.DATAC("jedoxtest/EU_PM_CUBE02","EUPM_Mittel2_Cube",Datenstand,"Alle Beteiligungen","Alle Koordinatoren","Alle Unternehmensgrößen","-2","Alle Organisationstypen",28,"Alle Expertevaluierungsstatus",$B26,"-2",I$4,"-2","Alle","-2","anzahl_beteiligungen")</f>
        <v>0</v>
      </c>
      <c r="J26" s="229">
        <f ca="1">_xll.PALO.DATAC("jedoxtest/EU_PM_CUBE02","EUPM_Mittel2_Cube",Datenstand,"Alle Beteiligungen","Alle Koordinatoren","Alle Unternehmensgrößen","-2","Alle Organisationstypen",28,"Alle Expertevaluierungsstatus",$B26,"-2",J$4,"-2","Alle","-2","anzahl_beteiligungen")</f>
        <v>0</v>
      </c>
      <c r="K26" s="229">
        <f ca="1">_xll.PALO.DATAC("jedoxtest/EU_PM_CUBE02","EUPM_Mittel2_Cube",Datenstand,"Alle Beteiligungen","Alle Koordinatoren","Alle Unternehmensgrößen","-2","Alle Organisationstypen",28,"Alle Expertevaluierungsstatus",$B26,"-2",K$4,"-2","Alle","-2","anzahl_beteiligungen")</f>
        <v>0</v>
      </c>
      <c r="L26" s="229">
        <f ca="1">_xll.PALO.DATAC("jedoxtest/EU_PM_CUBE02","EUPM_Mittel2_Cube",Datenstand,"Alle Beteiligungen","Alle Koordinatoren","Alle Unternehmensgrößen","-2","Alle Organisationstypen",28,"Alle Expertevaluierungsstatus",$B26,"-2",L$4,"-2","Alle","-2","anzahl_beteiligungen")</f>
        <v>0</v>
      </c>
      <c r="M26" s="229">
        <f ca="1">_xll.PALO.DATAC("jedoxtest/EU_PM_CUBE02","EUPM_Mittel2_Cube",Datenstand,"Alle Beteiligungen","Alle Koordinatoren","Alle Unternehmensgrößen","-2","Alle Organisationstypen",28,"Alle Expertevaluierungsstatus",$B26,"-2",M$4,"-2","Alle","-2","anzahl_beteiligungen")</f>
        <v>0</v>
      </c>
    </row>
    <row r="27" spans="1:13" ht="15" customHeight="1">
      <c r="B27" s="223"/>
    </row>
    <row r="28" spans="1:13" ht="15" customHeight="1">
      <c r="C28" s="761" t="str">
        <f ca="1">"Quelle: EC "&amp;_xll.PALO.DATA("jedoxtest/EU_PM_CUBE02","#_Datenstand","reference_month",Datenstand)&amp;"/"&amp;_xll.PALO.DATA("jedoxtest/EU_PM_CUBE02","#_Datenstand","reference_year",Datenstand)&amp;"; Darstellung FFG"</f>
        <v>Quelle: EC 5/2026; Darstellung FFG</v>
      </c>
      <c r="D28" s="761"/>
      <c r="E28" s="761"/>
      <c r="F28" s="761"/>
      <c r="G28" s="761"/>
      <c r="H28" s="761"/>
      <c r="I28" s="761"/>
      <c r="J28" s="761"/>
      <c r="K28" s="761"/>
      <c r="L28" s="761"/>
      <c r="M28" s="761"/>
    </row>
    <row r="29" spans="1:13" ht="15" customHeight="1">
      <c r="C29" s="235"/>
      <c r="D29" s="235"/>
      <c r="E29" s="235"/>
      <c r="F29" s="235"/>
      <c r="G29" s="235"/>
      <c r="H29" s="235"/>
      <c r="I29" s="235"/>
      <c r="J29" s="235"/>
      <c r="K29" s="235"/>
      <c r="L29" s="235"/>
      <c r="M29" s="235"/>
    </row>
    <row r="30" spans="1:13" ht="15" customHeight="1"/>
    <row r="32" spans="1:13" ht="15" hidden="1" customHeight="1">
      <c r="A32" s="181" t="b">
        <f ca="1">_xll.PALO.HIDEROW(ISBLANK($A$1))</f>
        <v>1</v>
      </c>
      <c r="B32" s="181" t="s">
        <v>191</v>
      </c>
      <c r="C32" s="181" t="str">
        <f ca="1">_xll.PALO.ENAME("jedoxtest/EU_PM_CUBE02","Datenstand",3)</f>
        <v>117</v>
      </c>
    </row>
  </sheetData>
  <mergeCells count="1">
    <mergeCell ref="C28:M28"/>
  </mergeCells>
  <pageMargins left="0.70866141732283472" right="0.70866141732283472" top="0.74803149606299213" bottom="0.74803149606299213" header="0.31496062992125984" footer="0.31496062992125984"/>
  <pageSetup paperSize="9" scale="62"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46">
    <tabColor rgb="FF92D050"/>
    <pageSetUpPr fitToPage="1"/>
  </sheetPr>
  <dimension ref="A1:M32"/>
  <sheetViews>
    <sheetView zoomScaleNormal="100" workbookViewId="0">
      <selection activeCell="C1" sqref="C1"/>
    </sheetView>
  </sheetViews>
  <sheetFormatPr baseColWidth="10" defaultColWidth="11.42578125" defaultRowHeight="15"/>
  <cols>
    <col min="1" max="1" width="4.28515625" style="181" customWidth="1"/>
    <col min="2" max="2" width="50.42578125" style="181" hidden="1" customWidth="1"/>
    <col min="3" max="3" width="45" style="181" customWidth="1"/>
    <col min="4" max="4" width="16.7109375" style="181" customWidth="1"/>
    <col min="5" max="5" width="15.85546875" style="181" customWidth="1"/>
    <col min="6" max="6" width="20.5703125" style="181" customWidth="1"/>
    <col min="7" max="7" width="18.42578125" style="181" customWidth="1"/>
    <col min="8" max="13" width="15.5703125" style="181" customWidth="1"/>
    <col min="14" max="14" width="3.28515625" style="181" customWidth="1"/>
    <col min="15" max="16384" width="11.42578125" style="181"/>
  </cols>
  <sheetData>
    <row r="1" spans="2:13" ht="15" customHeight="1">
      <c r="B1" s="220"/>
    </row>
    <row r="2" spans="2:13" ht="25.5" customHeight="1">
      <c r="C2" s="221" t="str">
        <f ca="1">"Österreichische Bundesländer in "&amp;_xll.PALO.DATA("jedoxtest/EU_PM_CUBE02","#_Datenstand","frameworkprog_long",Datenstand)&amp;" nach Programmen: Förderung"</f>
        <v>Österreichische Bundesländer in Horizon Europe nach Programmen: Förderung</v>
      </c>
      <c r="D2" s="208"/>
      <c r="E2" s="208"/>
      <c r="F2" s="208"/>
      <c r="G2" s="208"/>
      <c r="H2" s="222"/>
      <c r="I2" s="222"/>
      <c r="J2" s="222"/>
      <c r="K2" s="222"/>
      <c r="L2" s="222"/>
      <c r="M2" s="222"/>
    </row>
    <row r="3" spans="2:13" ht="25.5" customHeight="1">
      <c r="C3" s="246"/>
      <c r="D3" s="208"/>
      <c r="E3" s="208"/>
      <c r="F3" s="208"/>
      <c r="G3" s="208"/>
      <c r="H3" s="222"/>
      <c r="I3" s="222"/>
      <c r="J3" s="222"/>
      <c r="K3" s="222"/>
      <c r="L3" s="222"/>
      <c r="M3" s="222"/>
    </row>
    <row r="4" spans="2:13" hidden="1">
      <c r="D4" s="181">
        <v>3</v>
      </c>
      <c r="E4" s="181">
        <v>18</v>
      </c>
      <c r="F4" s="181">
        <v>7</v>
      </c>
      <c r="G4" s="181">
        <v>30</v>
      </c>
      <c r="H4" s="181">
        <v>36</v>
      </c>
      <c r="I4" s="181">
        <v>22</v>
      </c>
      <c r="J4" s="181">
        <v>40</v>
      </c>
      <c r="K4" s="181">
        <v>46</v>
      </c>
      <c r="L4" s="181">
        <v>15</v>
      </c>
      <c r="M4" s="181">
        <v>1</v>
      </c>
    </row>
    <row r="5" spans="2:13" ht="18.75" customHeight="1">
      <c r="D5" s="247" t="s">
        <v>118</v>
      </c>
      <c r="E5" s="247" t="s">
        <v>119</v>
      </c>
      <c r="F5" s="247" t="s">
        <v>120</v>
      </c>
      <c r="G5" s="247" t="s">
        <v>121</v>
      </c>
      <c r="H5" s="247" t="s">
        <v>122</v>
      </c>
      <c r="I5" s="247" t="s">
        <v>123</v>
      </c>
      <c r="J5" s="247" t="s">
        <v>124</v>
      </c>
      <c r="K5" s="247" t="s">
        <v>125</v>
      </c>
      <c r="L5" s="247" t="s">
        <v>126</v>
      </c>
      <c r="M5" s="247" t="s">
        <v>127</v>
      </c>
    </row>
    <row r="6" spans="2:1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Organisationstypen",28,"Alle Expertevaluierungsstatus",$B6,"-2",D$4,"-2","Alle","-2","foerderung")</f>
        <v>3218286.51</v>
      </c>
      <c r="E6" s="187">
        <f ca="1">_xll.PALO.DATAC("jedoxtest/EU_PM_CUBE02","EUPM_Mittel2_Cube",Datenstand,"Alle Beteiligungen","Alle Koordinatoren","Alle Unternehmensgrößen","-2","Alle Organisationstypen",28,"Alle Expertevaluierungsstatus",$B6,"-2",E$4,"-2","Alle","-2","foerderung")</f>
        <v>46475940.759999998</v>
      </c>
      <c r="F6" s="187">
        <f ca="1">_xll.PALO.DATAC("jedoxtest/EU_PM_CUBE02","EUPM_Mittel2_Cube",Datenstand,"Alle Beteiligungen","Alle Koordinatoren","Alle Unternehmensgrößen","-2","Alle Organisationstypen",28,"Alle Expertevaluierungsstatus",$B6,"-2",F$4,"-2","Alle","-2","foerderung")</f>
        <v>189109415.31</v>
      </c>
      <c r="G6" s="187">
        <f ca="1">_xll.PALO.DATAC("jedoxtest/EU_PM_CUBE02","EUPM_Mittel2_Cube",Datenstand,"Alle Beteiligungen","Alle Koordinatoren","Alle Unternehmensgrößen","-2","Alle Organisationstypen",28,"Alle Expertevaluierungsstatus",$B6,"-2",G$4,"-2","Alle","-2","foerderung")</f>
        <v>105567125.48999999</v>
      </c>
      <c r="H6" s="187">
        <f ca="1">_xll.PALO.DATAC("jedoxtest/EU_PM_CUBE02","EUPM_Mittel2_Cube",Datenstand,"Alle Beteiligungen","Alle Koordinatoren","Alle Unternehmensgrößen","-2","Alle Organisationstypen",28,"Alle Expertevaluierungsstatus",$B6,"-2",H$4,"-2","Alle","-2","foerderung")</f>
        <v>31207881.66</v>
      </c>
      <c r="I6" s="187">
        <f ca="1">_xll.PALO.DATAC("jedoxtest/EU_PM_CUBE02","EUPM_Mittel2_Cube",Datenstand,"Alle Beteiligungen","Alle Koordinatoren","Alle Unternehmensgrößen","-2","Alle Organisationstypen",28,"Alle Expertevaluierungsstatus",$B6,"-2",I$4,"-2","Alle","-2","foerderung")</f>
        <v>386905170.31999999</v>
      </c>
      <c r="J6" s="187">
        <f ca="1">_xll.PALO.DATAC("jedoxtest/EU_PM_CUBE02","EUPM_Mittel2_Cube",Datenstand,"Alle Beteiligungen","Alle Koordinatoren","Alle Unternehmensgrößen","-2","Alle Organisationstypen",28,"Alle Expertevaluierungsstatus",$B6,"-2",J$4,"-2","Alle","-2","foerderung")</f>
        <v>89160279.980000004</v>
      </c>
      <c r="K6" s="187">
        <f ca="1">_xll.PALO.DATAC("jedoxtest/EU_PM_CUBE02","EUPM_Mittel2_Cube",Datenstand,"Alle Beteiligungen","Alle Koordinatoren","Alle Unternehmensgrößen","-2","Alle Organisationstypen",28,"Alle Expertevaluierungsstatus",$B6,"-2",K$4,"-2","Alle","-2","foerderung")</f>
        <v>2424344.13</v>
      </c>
      <c r="L6" s="187">
        <f ca="1">_xll.PALO.DATAC("jedoxtest/EU_PM_CUBE02","EUPM_Mittel2_Cube",Datenstand,"Alle Beteiligungen","Alle Koordinatoren","Alle Unternehmensgrößen","-2","Alle Organisationstypen",28,"Alle Expertevaluierungsstatus",$B6,"-2",L$4,"-2","Alle","-2","foerderung")</f>
        <v>1002133123.29</v>
      </c>
      <c r="M6" s="187">
        <f ca="1">_xll.PALO.DATAC("jedoxtest/EU_PM_CUBE02","EUPM_Mittel2_Cube",Datenstand,"Alle Beteiligungen","Alle Koordinatoren","Alle Unternehmensgrößen","-2","Alle Organisationstypen",28,"Alle Expertevaluierungsstatus",$B6,"-2",M$4,"-2","Alle","-2","foerderung")</f>
        <v>1856201567.4500101</v>
      </c>
    </row>
    <row r="7" spans="2:13" ht="15" hidden="1" customHeight="1">
      <c r="B7" t="s">
        <v>139</v>
      </c>
      <c r="C7" s="368" t="str">
        <f ca="1">_xll.PALO.DATA("jedoxtest/EU_PM_CUBE02","#_Programme","Langbezeichnung",$B7)</f>
        <v>EC Treaty</v>
      </c>
      <c r="D7" s="226">
        <f ca="1">_xll.PALO.DATAC("jedoxtest/EU_PM_CUBE02","EUPM_Mittel2_Cube",Datenstand,"Alle Beteiligungen","Alle Koordinatoren","Alle Unternehmensgrößen","-2","Alle Organisationstypen",28,"Alle Expertevaluierungsstatus",$B7,"-2",D$4,"-2","Alle","-2","foerderung")</f>
        <v>3218286.51</v>
      </c>
      <c r="E7" s="226">
        <f ca="1">_xll.PALO.DATAC("jedoxtest/EU_PM_CUBE02","EUPM_Mittel2_Cube",Datenstand,"Alle Beteiligungen","Alle Koordinatoren","Alle Unternehmensgrößen","-2","Alle Organisationstypen",28,"Alle Expertevaluierungsstatus",$B7,"-2",E$4,"-2","Alle","-2","foerderung")</f>
        <v>46475940.759999998</v>
      </c>
      <c r="F7" s="226">
        <f ca="1">_xll.PALO.DATAC("jedoxtest/EU_PM_CUBE02","EUPM_Mittel2_Cube",Datenstand,"Alle Beteiligungen","Alle Koordinatoren","Alle Unternehmensgrößen","-2","Alle Organisationstypen",28,"Alle Expertevaluierungsstatus",$B7,"-2",F$4,"-2","Alle","-2","foerderung")</f>
        <v>189109415.31</v>
      </c>
      <c r="G7" s="226">
        <f ca="1">_xll.PALO.DATAC("jedoxtest/EU_PM_CUBE02","EUPM_Mittel2_Cube",Datenstand,"Alle Beteiligungen","Alle Koordinatoren","Alle Unternehmensgrößen","-2","Alle Organisationstypen",28,"Alle Expertevaluierungsstatus",$B7,"-2",G$4,"-2","Alle","-2","foerderung")</f>
        <v>105567125.48999999</v>
      </c>
      <c r="H7" s="226">
        <f ca="1">_xll.PALO.DATAC("jedoxtest/EU_PM_CUBE02","EUPM_Mittel2_Cube",Datenstand,"Alle Beteiligungen","Alle Koordinatoren","Alle Unternehmensgrößen","-2","Alle Organisationstypen",28,"Alle Expertevaluierungsstatus",$B7,"-2",H$4,"-2","Alle","-2","foerderung")</f>
        <v>31207881.66</v>
      </c>
      <c r="I7" s="226">
        <f ca="1">_xll.PALO.DATAC("jedoxtest/EU_PM_CUBE02","EUPM_Mittel2_Cube",Datenstand,"Alle Beteiligungen","Alle Koordinatoren","Alle Unternehmensgrößen","-2","Alle Organisationstypen",28,"Alle Expertevaluierungsstatus",$B7,"-2",I$4,"-2","Alle","-2","foerderung")</f>
        <v>386905170.31999999</v>
      </c>
      <c r="J7" s="226">
        <f ca="1">_xll.PALO.DATAC("jedoxtest/EU_PM_CUBE02","EUPM_Mittel2_Cube",Datenstand,"Alle Beteiligungen","Alle Koordinatoren","Alle Unternehmensgrößen","-2","Alle Organisationstypen",28,"Alle Expertevaluierungsstatus",$B7,"-2",J$4,"-2","Alle","-2","foerderung")</f>
        <v>89160279.980000004</v>
      </c>
      <c r="K7" s="226">
        <f ca="1">_xll.PALO.DATAC("jedoxtest/EU_PM_CUBE02","EUPM_Mittel2_Cube",Datenstand,"Alle Beteiligungen","Alle Koordinatoren","Alle Unternehmensgrößen","-2","Alle Organisationstypen",28,"Alle Expertevaluierungsstatus",$B7,"-2",K$4,"-2","Alle","-2","foerderung")</f>
        <v>2424344.13</v>
      </c>
      <c r="L7" s="226">
        <f ca="1">_xll.PALO.DATAC("jedoxtest/EU_PM_CUBE02","EUPM_Mittel2_Cube",Datenstand,"Alle Beteiligungen","Alle Koordinatoren","Alle Unternehmensgrößen","-2","Alle Organisationstypen",28,"Alle Expertevaluierungsstatus",$B7,"-2",L$4,"-2","Alle","-2","foerderung")</f>
        <v>1002133123.29</v>
      </c>
      <c r="M7" s="226">
        <f ca="1">_xll.PALO.DATAC("jedoxtest/EU_PM_CUBE02","EUPM_Mittel2_Cube",Datenstand,"Alle Beteiligungen","Alle Koordinatoren","Alle Unternehmensgrößen","-2","Alle Organisationstypen",28,"Alle Expertevaluierungsstatus",$B7,"-2",M$4,"-2","Alle","-2","foerderung")</f>
        <v>1856201567.4500101</v>
      </c>
    </row>
    <row r="8" spans="2:13" ht="15" customHeight="1">
      <c r="B8" t="s">
        <v>140</v>
      </c>
      <c r="C8" s="368" t="str">
        <f ca="1">_xll.PALO.DATA("jedoxtest/EU_PM_CUBE02","#_Programme","Langbezeichnung",$B8)</f>
        <v>Excellent Science</v>
      </c>
      <c r="D8" s="226">
        <f ca="1">_xll.PALO.DATAC("jedoxtest/EU_PM_CUBE02","EUPM_Mittel2_Cube",Datenstand,"Alle Beteiligungen","Alle Koordinatoren","Alle Unternehmensgrößen","-2","Alle Organisationstypen",28,"Alle Expertevaluierungsstatus",$B8,"-2",D$4,"-2","Alle","-2","foerderung")</f>
        <v>0</v>
      </c>
      <c r="E8" s="226">
        <f ca="1">_xll.PALO.DATAC("jedoxtest/EU_PM_CUBE02","EUPM_Mittel2_Cube",Datenstand,"Alle Beteiligungen","Alle Koordinatoren","Alle Unternehmensgrößen","-2","Alle Organisationstypen",28,"Alle Expertevaluierungsstatus",$B8,"-2",E$4,"-2","Alle","-2","foerderung")</f>
        <v>1257902.1000000001</v>
      </c>
      <c r="F8" s="226">
        <f ca="1">_xll.PALO.DATAC("jedoxtest/EU_PM_CUBE02","EUPM_Mittel2_Cube",Datenstand,"Alle Beteiligungen","Alle Koordinatoren","Alle Unternehmensgrößen","-2","Alle Organisationstypen",28,"Alle Expertevaluierungsstatus",$B8,"-2",F$4,"-2","Alle","-2","foerderung")</f>
        <v>81853168.090000004</v>
      </c>
      <c r="G8" s="226">
        <f ca="1">_xll.PALO.DATAC("jedoxtest/EU_PM_CUBE02","EUPM_Mittel2_Cube",Datenstand,"Alle Beteiligungen","Alle Koordinatoren","Alle Unternehmensgrößen","-2","Alle Organisationstypen",28,"Alle Expertevaluierungsstatus",$B8,"-2",G$4,"-2","Alle","-2","foerderung")</f>
        <v>12702576.130000001</v>
      </c>
      <c r="H8" s="226">
        <f ca="1">_xll.PALO.DATAC("jedoxtest/EU_PM_CUBE02","EUPM_Mittel2_Cube",Datenstand,"Alle Beteiligungen","Alle Koordinatoren","Alle Unternehmensgrößen","-2","Alle Organisationstypen",28,"Alle Expertevaluierungsstatus",$B8,"-2",H$4,"-2","Alle","-2","foerderung")</f>
        <v>14642004.449999999</v>
      </c>
      <c r="I8" s="226">
        <f ca="1">_xll.PALO.DATAC("jedoxtest/EU_PM_CUBE02","EUPM_Mittel2_Cube",Datenstand,"Alle Beteiligungen","Alle Koordinatoren","Alle Unternehmensgrößen","-2","Alle Organisationstypen",28,"Alle Expertevaluierungsstatus",$B8,"-2",I$4,"-2","Alle","-2","foerderung")</f>
        <v>98512410.980000004</v>
      </c>
      <c r="J8" s="226">
        <f ca="1">_xll.PALO.DATAC("jedoxtest/EU_PM_CUBE02","EUPM_Mittel2_Cube",Datenstand,"Alle Beteiligungen","Alle Koordinatoren","Alle Unternehmensgrößen","-2","Alle Organisationstypen",28,"Alle Expertevaluierungsstatus",$B8,"-2",J$4,"-2","Alle","-2","foerderung")</f>
        <v>31360092.059999999</v>
      </c>
      <c r="K8" s="226">
        <f ca="1">_xll.PALO.DATAC("jedoxtest/EU_PM_CUBE02","EUPM_Mittel2_Cube",Datenstand,"Alle Beteiligungen","Alle Koordinatoren","Alle Unternehmensgrößen","-2","Alle Organisationstypen",28,"Alle Expertevaluierungsstatus",$B8,"-2",K$4,"-2","Alle","-2","foerderung")</f>
        <v>270331.19</v>
      </c>
      <c r="L8" s="226">
        <f ca="1">_xll.PALO.DATAC("jedoxtest/EU_PM_CUBE02","EUPM_Mittel2_Cube",Datenstand,"Alle Beteiligungen","Alle Koordinatoren","Alle Unternehmensgrößen","-2","Alle Organisationstypen",28,"Alle Expertevaluierungsstatus",$B8,"-2",L$4,"-2","Alle","-2","foerderung")</f>
        <v>369110209.16000003</v>
      </c>
      <c r="M8" s="226">
        <f ca="1">_xll.PALO.DATAC("jedoxtest/EU_PM_CUBE02","EUPM_Mittel2_Cube",Datenstand,"Alle Beteiligungen","Alle Koordinatoren","Alle Unternehmensgrößen","-2","Alle Organisationstypen",28,"Alle Expertevaluierungsstatus",$B8,"-2",M$4,"-2","Alle","-2","foerderung")</f>
        <v>609708694.16000104</v>
      </c>
    </row>
    <row r="9" spans="2:13" ht="15" customHeight="1">
      <c r="B9" t="s">
        <v>141</v>
      </c>
      <c r="C9" s="474" t="str">
        <f ca="1">_xll.PALO.DATA("jedoxtest/EU_PM_CUBE02","#_Programme","Langbezeichnung",$B9)</f>
        <v>European Research Council (ERC)</v>
      </c>
      <c r="D9" s="226">
        <f ca="1">_xll.PALO.DATAC("jedoxtest/EU_PM_CUBE02","EUPM_Mittel2_Cube",Datenstand,"Alle Beteiligungen","Alle Koordinatoren","Alle Unternehmensgrößen","-2","Alle Organisationstypen",28,"Alle Expertevaluierungsstatus",$B9,"-2",D$4,"-2","Alle","-2","foerderung")</f>
        <v>0</v>
      </c>
      <c r="E9" s="226">
        <f ca="1">_xll.PALO.DATAC("jedoxtest/EU_PM_CUBE02","EUPM_Mittel2_Cube",Datenstand,"Alle Beteiligungen","Alle Koordinatoren","Alle Unternehmensgrößen","-2","Alle Organisationstypen",28,"Alle Expertevaluierungsstatus",$B9,"-2",E$4,"-2","Alle","-2","foerderung")</f>
        <v>0</v>
      </c>
      <c r="F9" s="226">
        <f ca="1">_xll.PALO.DATAC("jedoxtest/EU_PM_CUBE02","EUPM_Mittel2_Cube",Datenstand,"Alle Beteiligungen","Alle Koordinatoren","Alle Unternehmensgrößen","-2","Alle Organisationstypen",28,"Alle Expertevaluierungsstatus",$B9,"-2",F$4,"-2","Alle","-2","foerderung")</f>
        <v>72421480.5</v>
      </c>
      <c r="G9" s="226">
        <f ca="1">_xll.PALO.DATAC("jedoxtest/EU_PM_CUBE02","EUPM_Mittel2_Cube",Datenstand,"Alle Beteiligungen","Alle Koordinatoren","Alle Unternehmensgrößen","-2","Alle Organisationstypen",28,"Alle Expertevaluierungsstatus",$B9,"-2",G$4,"-2","Alle","-2","foerderung")</f>
        <v>8388354</v>
      </c>
      <c r="H9" s="226">
        <f ca="1">_xll.PALO.DATAC("jedoxtest/EU_PM_CUBE02","EUPM_Mittel2_Cube",Datenstand,"Alle Beteiligungen","Alle Koordinatoren","Alle Unternehmensgrößen","-2","Alle Organisationstypen",28,"Alle Expertevaluierungsstatus",$B9,"-2",H$4,"-2","Alle","-2","foerderung")</f>
        <v>10306900</v>
      </c>
      <c r="I9" s="226">
        <f ca="1">_xll.PALO.DATAC("jedoxtest/EU_PM_CUBE02","EUPM_Mittel2_Cube",Datenstand,"Alle Beteiligungen","Alle Koordinatoren","Alle Unternehmensgrößen","-2","Alle Organisationstypen",28,"Alle Expertevaluierungsstatus",$B9,"-2",I$4,"-2","Alle","-2","foerderung")</f>
        <v>51626460.82</v>
      </c>
      <c r="J9" s="226">
        <f ca="1">_xll.PALO.DATAC("jedoxtest/EU_PM_CUBE02","EUPM_Mittel2_Cube",Datenstand,"Alle Beteiligungen","Alle Koordinatoren","Alle Unternehmensgrößen","-2","Alle Organisationstypen",28,"Alle Expertevaluierungsstatus",$B9,"-2",J$4,"-2","Alle","-2","foerderung")</f>
        <v>21981600.07</v>
      </c>
      <c r="K9" s="226">
        <f ca="1">_xll.PALO.DATAC("jedoxtest/EU_PM_CUBE02","EUPM_Mittel2_Cube",Datenstand,"Alle Beteiligungen","Alle Koordinatoren","Alle Unternehmensgrößen","-2","Alle Organisationstypen",28,"Alle Expertevaluierungsstatus",$B9,"-2",K$4,"-2","Alle","-2","foerderung")</f>
        <v>0</v>
      </c>
      <c r="L9" s="226">
        <f ca="1">_xll.PALO.DATAC("jedoxtest/EU_PM_CUBE02","EUPM_Mittel2_Cube",Datenstand,"Alle Beteiligungen","Alle Koordinatoren","Alle Unternehmensgrößen","-2","Alle Organisationstypen",28,"Alle Expertevaluierungsstatus",$B9,"-2",L$4,"-2","Alle","-2","foerderung")</f>
        <v>283123215.06999999</v>
      </c>
      <c r="M9" s="226">
        <f ca="1">_xll.PALO.DATAC("jedoxtest/EU_PM_CUBE02","EUPM_Mittel2_Cube",Datenstand,"Alle Beteiligungen","Alle Koordinatoren","Alle Unternehmensgrößen","-2","Alle Organisationstypen",28,"Alle Expertevaluierungsstatus",$B9,"-2",M$4,"-2","Alle","-2","foerderung")</f>
        <v>447848010.45999998</v>
      </c>
    </row>
    <row r="10" spans="2:13" ht="15" customHeight="1">
      <c r="B10" t="s">
        <v>142</v>
      </c>
      <c r="C10" s="474" t="str">
        <f ca="1">_xll.PALO.DATA("jedoxtest/EU_PM_CUBE02","#_Programme","Langbezeichnung",$B10)</f>
        <v>Marie Skłodowska-Curie Actions (MSCA)</v>
      </c>
      <c r="D10" s="226">
        <f ca="1">_xll.PALO.DATAC("jedoxtest/EU_PM_CUBE02","EUPM_Mittel2_Cube",Datenstand,"Alle Beteiligungen","Alle Koordinatoren","Alle Unternehmensgrößen","-2","Alle Organisationstypen",28,"Alle Expertevaluierungsstatus",$B10,"-2",D$4,"-2","Alle","-2","foerderung")</f>
        <v>0</v>
      </c>
      <c r="E10" s="226">
        <f ca="1">_xll.PALO.DATAC("jedoxtest/EU_PM_CUBE02","EUPM_Mittel2_Cube",Datenstand,"Alle Beteiligungen","Alle Koordinatoren","Alle Unternehmensgrößen","-2","Alle Organisationstypen",28,"Alle Expertevaluierungsstatus",$B10,"-2",E$4,"-2","Alle","-2","foerderung")</f>
        <v>1257902.1000000001</v>
      </c>
      <c r="F10" s="226">
        <f ca="1">_xll.PALO.DATAC("jedoxtest/EU_PM_CUBE02","EUPM_Mittel2_Cube",Datenstand,"Alle Beteiligungen","Alle Koordinatoren","Alle Unternehmensgrößen","-2","Alle Organisationstypen",28,"Alle Expertevaluierungsstatus",$B10,"-2",F$4,"-2","Alle","-2","foerderung")</f>
        <v>8986371.3399999999</v>
      </c>
      <c r="G10" s="226">
        <f ca="1">_xll.PALO.DATAC("jedoxtest/EU_PM_CUBE02","EUPM_Mittel2_Cube",Datenstand,"Alle Beteiligungen","Alle Koordinatoren","Alle Unternehmensgrößen","-2","Alle Organisationstypen",28,"Alle Expertevaluierungsstatus",$B10,"-2",G$4,"-2","Alle","-2","foerderung")</f>
        <v>3963222.13</v>
      </c>
      <c r="H10" s="226">
        <f ca="1">_xll.PALO.DATAC("jedoxtest/EU_PM_CUBE02","EUPM_Mittel2_Cube",Datenstand,"Alle Beteiligungen","Alle Koordinatoren","Alle Unternehmensgrößen","-2","Alle Organisationstypen",28,"Alle Expertevaluierungsstatus",$B10,"-2",H$4,"-2","Alle","-2","foerderung")</f>
        <v>4335104.45</v>
      </c>
      <c r="I10" s="226">
        <f ca="1">_xll.PALO.DATAC("jedoxtest/EU_PM_CUBE02","EUPM_Mittel2_Cube",Datenstand,"Alle Beteiligungen","Alle Koordinatoren","Alle Unternehmensgrößen","-2","Alle Organisationstypen",28,"Alle Expertevaluierungsstatus",$B10,"-2",I$4,"-2","Alle","-2","foerderung")</f>
        <v>27111690.859999999</v>
      </c>
      <c r="J10" s="226">
        <f ca="1">_xll.PALO.DATAC("jedoxtest/EU_PM_CUBE02","EUPM_Mittel2_Cube",Datenstand,"Alle Beteiligungen","Alle Koordinatoren","Alle Unternehmensgrößen","-2","Alle Organisationstypen",28,"Alle Expertevaluierungsstatus",$B10,"-2",J$4,"-2","Alle","-2","foerderung")</f>
        <v>7934691.9900000002</v>
      </c>
      <c r="K10" s="226">
        <f ca="1">_xll.PALO.DATAC("jedoxtest/EU_PM_CUBE02","EUPM_Mittel2_Cube",Datenstand,"Alle Beteiligungen","Alle Koordinatoren","Alle Unternehmensgrößen","-2","Alle Organisationstypen",28,"Alle Expertevaluierungsstatus",$B10,"-2",K$4,"-2","Alle","-2","foerderung")</f>
        <v>270331.19</v>
      </c>
      <c r="L10" s="226">
        <f ca="1">_xll.PALO.DATAC("jedoxtest/EU_PM_CUBE02","EUPM_Mittel2_Cube",Datenstand,"Alle Beteiligungen","Alle Koordinatoren","Alle Unternehmensgrößen","-2","Alle Organisationstypen",28,"Alle Expertevaluierungsstatus",$B10,"-2",L$4,"-2","Alle","-2","foerderung")</f>
        <v>72209931.939999998</v>
      </c>
      <c r="M10" s="226">
        <f ca="1">_xll.PALO.DATAC("jedoxtest/EU_PM_CUBE02","EUPM_Mittel2_Cube",Datenstand,"Alle Beteiligungen","Alle Koordinatoren","Alle Unternehmensgrößen","-2","Alle Organisationstypen",28,"Alle Expertevaluierungsstatus",$B10,"-2",M$4,"-2","Alle","-2","foerderung")</f>
        <v>126069246</v>
      </c>
    </row>
    <row r="11" spans="2:13" ht="15" customHeight="1">
      <c r="B11" t="s">
        <v>143</v>
      </c>
      <c r="C11" s="474" t="str">
        <f ca="1">_xll.PALO.DATA("jedoxtest/EU_PM_CUBE02","#_Programme","Langbezeichnung",$B11)</f>
        <v>Research infrastructures</v>
      </c>
      <c r="D11" s="226">
        <f ca="1">_xll.PALO.DATAC("jedoxtest/EU_PM_CUBE02","EUPM_Mittel2_Cube",Datenstand,"Alle Beteiligungen","Alle Koordinatoren","Alle Unternehmensgrößen","-2","Alle Organisationstypen",28,"Alle Expertevaluierungsstatus",$B11,"-2",D$4,"-2","Alle","-2","foerderung")</f>
        <v>0</v>
      </c>
      <c r="E11" s="226">
        <f ca="1">_xll.PALO.DATAC("jedoxtest/EU_PM_CUBE02","EUPM_Mittel2_Cube",Datenstand,"Alle Beteiligungen","Alle Koordinatoren","Alle Unternehmensgrößen","-2","Alle Organisationstypen",28,"Alle Expertevaluierungsstatus",$B11,"-2",E$4,"-2","Alle","-2","foerderung")</f>
        <v>0</v>
      </c>
      <c r="F11" s="226">
        <f ca="1">_xll.PALO.DATAC("jedoxtest/EU_PM_CUBE02","EUPM_Mittel2_Cube",Datenstand,"Alle Beteiligungen","Alle Koordinatoren","Alle Unternehmensgrößen","-2","Alle Organisationstypen",28,"Alle Expertevaluierungsstatus",$B11,"-2",F$4,"-2","Alle","-2","foerderung")</f>
        <v>445316.25</v>
      </c>
      <c r="G11" s="226">
        <f ca="1">_xll.PALO.DATAC("jedoxtest/EU_PM_CUBE02","EUPM_Mittel2_Cube",Datenstand,"Alle Beteiligungen","Alle Koordinatoren","Alle Unternehmensgrößen","-2","Alle Organisationstypen",28,"Alle Expertevaluierungsstatus",$B11,"-2",G$4,"-2","Alle","-2","foerderung")</f>
        <v>351000</v>
      </c>
      <c r="H11" s="226">
        <f ca="1">_xll.PALO.DATAC("jedoxtest/EU_PM_CUBE02","EUPM_Mittel2_Cube",Datenstand,"Alle Beteiligungen","Alle Koordinatoren","Alle Unternehmensgrößen","-2","Alle Organisationstypen",28,"Alle Expertevaluierungsstatus",$B11,"-2",H$4,"-2","Alle","-2","foerderung")</f>
        <v>0</v>
      </c>
      <c r="I11" s="226">
        <f ca="1">_xll.PALO.DATAC("jedoxtest/EU_PM_CUBE02","EUPM_Mittel2_Cube",Datenstand,"Alle Beteiligungen","Alle Koordinatoren","Alle Unternehmensgrößen","-2","Alle Organisationstypen",28,"Alle Expertevaluierungsstatus",$B11,"-2",I$4,"-2","Alle","-2","foerderung")</f>
        <v>19774259.300000001</v>
      </c>
      <c r="J11" s="226">
        <f ca="1">_xll.PALO.DATAC("jedoxtest/EU_PM_CUBE02","EUPM_Mittel2_Cube",Datenstand,"Alle Beteiligungen","Alle Koordinatoren","Alle Unternehmensgrößen","-2","Alle Organisationstypen",28,"Alle Expertevaluierungsstatus",$B11,"-2",J$4,"-2","Alle","-2","foerderung")</f>
        <v>1443800</v>
      </c>
      <c r="K11" s="226">
        <f ca="1">_xll.PALO.DATAC("jedoxtest/EU_PM_CUBE02","EUPM_Mittel2_Cube",Datenstand,"Alle Beteiligungen","Alle Koordinatoren","Alle Unternehmensgrößen","-2","Alle Organisationstypen",28,"Alle Expertevaluierungsstatus",$B11,"-2",K$4,"-2","Alle","-2","foerderung")</f>
        <v>0</v>
      </c>
      <c r="L11" s="226">
        <f ca="1">_xll.PALO.DATAC("jedoxtest/EU_PM_CUBE02","EUPM_Mittel2_Cube",Datenstand,"Alle Beteiligungen","Alle Koordinatoren","Alle Unternehmensgrößen","-2","Alle Organisationstypen",28,"Alle Expertevaluierungsstatus",$B11,"-2",L$4,"-2","Alle","-2","foerderung")</f>
        <v>13777062.15</v>
      </c>
      <c r="M11" s="226">
        <f ca="1">_xll.PALO.DATAC("jedoxtest/EU_PM_CUBE02","EUPM_Mittel2_Cube",Datenstand,"Alle Beteiligungen","Alle Koordinatoren","Alle Unternehmensgrößen","-2","Alle Organisationstypen",28,"Alle Expertevaluierungsstatus",$B11,"-2",M$4,"-2","Alle","-2","foerderung")</f>
        <v>35791437.700000003</v>
      </c>
    </row>
    <row r="12" spans="2:13" ht="29.25" customHeight="1">
      <c r="B12" t="s">
        <v>144</v>
      </c>
      <c r="C12" s="368" t="str">
        <f ca="1">_xll.PALO.DATA("jedoxtest/EU_PM_CUBE02","#_Programme","Langbezeichnung",$B12)</f>
        <v>Global Challenges and European Industrial Competitiveness</v>
      </c>
      <c r="D12" s="226">
        <f ca="1">_xll.PALO.DATAC("jedoxtest/EU_PM_CUBE02","EUPM_Mittel2_Cube",Datenstand,"Alle Beteiligungen","Alle Koordinatoren","Alle Unternehmensgrößen","-2","Alle Organisationstypen",28,"Alle Expertevaluierungsstatus",$B12,"-2",D$4,"-2","Alle","-2","foerderung")</f>
        <v>3051805.26</v>
      </c>
      <c r="E12" s="226">
        <f ca="1">_xll.PALO.DATAC("jedoxtest/EU_PM_CUBE02","EUPM_Mittel2_Cube",Datenstand,"Alle Beteiligungen","Alle Koordinatoren","Alle Unternehmensgrößen","-2","Alle Organisationstypen",28,"Alle Expertevaluierungsstatus",$B12,"-2",E$4,"-2","Alle","-2","foerderung")</f>
        <v>43598483.659999996</v>
      </c>
      <c r="F12" s="226">
        <f ca="1">_xll.PALO.DATAC("jedoxtest/EU_PM_CUBE02","EUPM_Mittel2_Cube",Datenstand,"Alle Beteiligungen","Alle Koordinatoren","Alle Unternehmensgrößen","-2","Alle Organisationstypen",28,"Alle Expertevaluierungsstatus",$B12,"-2",F$4,"-2","Alle","-2","foerderung")</f>
        <v>87135150</v>
      </c>
      <c r="G12" s="226">
        <f ca="1">_xll.PALO.DATAC("jedoxtest/EU_PM_CUBE02","EUPM_Mittel2_Cube",Datenstand,"Alle Beteiligungen","Alle Koordinatoren","Alle Unternehmensgrößen","-2","Alle Organisationstypen",28,"Alle Expertevaluierungsstatus",$B12,"-2",G$4,"-2","Alle","-2","foerderung")</f>
        <v>83084436.920000002</v>
      </c>
      <c r="H12" s="226">
        <f ca="1">_xll.PALO.DATAC("jedoxtest/EU_PM_CUBE02","EUPM_Mittel2_Cube",Datenstand,"Alle Beteiligungen","Alle Koordinatoren","Alle Unternehmensgrößen","-2","Alle Organisationstypen",28,"Alle Expertevaluierungsstatus",$B12,"-2",H$4,"-2","Alle","-2","foerderung")</f>
        <v>15819290.960000001</v>
      </c>
      <c r="I12" s="226">
        <f ca="1">_xll.PALO.DATAC("jedoxtest/EU_PM_CUBE02","EUPM_Mittel2_Cube",Datenstand,"Alle Beteiligungen","Alle Koordinatoren","Alle Unternehmensgrößen","-2","Alle Organisationstypen",28,"Alle Expertevaluierungsstatus",$B12,"-2",I$4,"-2","Alle","-2","foerderung")</f>
        <v>254641363.90000001</v>
      </c>
      <c r="J12" s="226">
        <f ca="1">_xll.PALO.DATAC("jedoxtest/EU_PM_CUBE02","EUPM_Mittel2_Cube",Datenstand,"Alle Beteiligungen","Alle Koordinatoren","Alle Unternehmensgrößen","-2","Alle Organisationstypen",28,"Alle Expertevaluierungsstatus",$B12,"-2",J$4,"-2","Alle","-2","foerderung")</f>
        <v>50933505.420000002</v>
      </c>
      <c r="K12" s="226">
        <f ca="1">_xll.PALO.DATAC("jedoxtest/EU_PM_CUBE02","EUPM_Mittel2_Cube",Datenstand,"Alle Beteiligungen","Alle Koordinatoren","Alle Unternehmensgrößen","-2","Alle Organisationstypen",28,"Alle Expertevaluierungsstatus",$B12,"-2",K$4,"-2","Alle","-2","foerderung")</f>
        <v>2154012.94</v>
      </c>
      <c r="L12" s="226">
        <f ca="1">_xll.PALO.DATAC("jedoxtest/EU_PM_CUBE02","EUPM_Mittel2_Cube",Datenstand,"Alle Beteiligungen","Alle Koordinatoren","Alle Unternehmensgrößen","-2","Alle Organisationstypen",28,"Alle Expertevaluierungsstatus",$B12,"-2",L$4,"-2","Alle","-2","foerderung")</f>
        <v>559058254.42999899</v>
      </c>
      <c r="M12" s="226">
        <f ca="1">_xll.PALO.DATAC("jedoxtest/EU_PM_CUBE02","EUPM_Mittel2_Cube",Datenstand,"Alle Beteiligungen","Alle Koordinatoren","Alle Unternehmensgrößen","-2","Alle Organisationstypen",28,"Alle Expertevaluierungsstatus",$B12,"-2",M$4,"-2","Alle","-2","foerderung")</f>
        <v>1099476303.49</v>
      </c>
    </row>
    <row r="13" spans="2:13" ht="15" customHeight="1">
      <c r="B13" t="s">
        <v>145</v>
      </c>
      <c r="C13" s="474" t="str">
        <f ca="1">_xll.PALO.DATA("jedoxtest/EU_PM_CUBE02","#_Programme","Langbezeichnung",$B13)</f>
        <v>Health</v>
      </c>
      <c r="D13" s="226">
        <f ca="1">_xll.PALO.DATAC("jedoxtest/EU_PM_CUBE02","EUPM_Mittel2_Cube",Datenstand,"Alle Beteiligungen","Alle Koordinatoren","Alle Unternehmensgrößen","-2","Alle Organisationstypen",28,"Alle Expertevaluierungsstatus",$B13,"-2",D$4,"-2","Alle","-2","foerderung")</f>
        <v>0</v>
      </c>
      <c r="E13" s="226">
        <f ca="1">_xll.PALO.DATAC("jedoxtest/EU_PM_CUBE02","EUPM_Mittel2_Cube",Datenstand,"Alle Beteiligungen","Alle Koordinatoren","Alle Unternehmensgrößen","-2","Alle Organisationstypen",28,"Alle Expertevaluierungsstatus",$B13,"-2",E$4,"-2","Alle","-2","foerderung")</f>
        <v>1253503</v>
      </c>
      <c r="F13" s="226">
        <f ca="1">_xll.PALO.DATAC("jedoxtest/EU_PM_CUBE02","EUPM_Mittel2_Cube",Datenstand,"Alle Beteiligungen","Alle Koordinatoren","Alle Unternehmensgrößen","-2","Alle Organisationstypen",28,"Alle Expertevaluierungsstatus",$B13,"-2",F$4,"-2","Alle","-2","foerderung")</f>
        <v>4493443.28</v>
      </c>
      <c r="G13" s="226">
        <f ca="1">_xll.PALO.DATAC("jedoxtest/EU_PM_CUBE02","EUPM_Mittel2_Cube",Datenstand,"Alle Beteiligungen","Alle Koordinatoren","Alle Unternehmensgrößen","-2","Alle Organisationstypen",28,"Alle Expertevaluierungsstatus",$B13,"-2",G$4,"-2","Alle","-2","foerderung")</f>
        <v>1263361.98</v>
      </c>
      <c r="H13" s="226">
        <f ca="1">_xll.PALO.DATAC("jedoxtest/EU_PM_CUBE02","EUPM_Mittel2_Cube",Datenstand,"Alle Beteiligungen","Alle Koordinatoren","Alle Unternehmensgrößen","-2","Alle Organisationstypen",28,"Alle Expertevaluierungsstatus",$B13,"-2",H$4,"-2","Alle","-2","foerderung")</f>
        <v>3231930.61</v>
      </c>
      <c r="I13" s="226">
        <f ca="1">_xll.PALO.DATAC("jedoxtest/EU_PM_CUBE02","EUPM_Mittel2_Cube",Datenstand,"Alle Beteiligungen","Alle Koordinatoren","Alle Unternehmensgrößen","-2","Alle Organisationstypen",28,"Alle Expertevaluierungsstatus",$B13,"-2",I$4,"-2","Alle","-2","foerderung")</f>
        <v>35207135.630000003</v>
      </c>
      <c r="J13" s="226">
        <f ca="1">_xll.PALO.DATAC("jedoxtest/EU_PM_CUBE02","EUPM_Mittel2_Cube",Datenstand,"Alle Beteiligungen","Alle Koordinatoren","Alle Unternehmensgrößen","-2","Alle Organisationstypen",28,"Alle Expertevaluierungsstatus",$B13,"-2",J$4,"-2","Alle","-2","foerderung")</f>
        <v>8496792.8399999999</v>
      </c>
      <c r="K13" s="226">
        <f ca="1">_xll.PALO.DATAC("jedoxtest/EU_PM_CUBE02","EUPM_Mittel2_Cube",Datenstand,"Alle Beteiligungen","Alle Koordinatoren","Alle Unternehmensgrößen","-2","Alle Organisationstypen",28,"Alle Expertevaluierungsstatus",$B13,"-2",K$4,"-2","Alle","-2","foerderung")</f>
        <v>0</v>
      </c>
      <c r="L13" s="226">
        <f ca="1">_xll.PALO.DATAC("jedoxtest/EU_PM_CUBE02","EUPM_Mittel2_Cube",Datenstand,"Alle Beteiligungen","Alle Koordinatoren","Alle Unternehmensgrößen","-2","Alle Organisationstypen",28,"Alle Expertevaluierungsstatus",$B13,"-2",L$4,"-2","Alle","-2","foerderung")</f>
        <v>94764714.560000002</v>
      </c>
      <c r="M13" s="226">
        <f ca="1">_xll.PALO.DATAC("jedoxtest/EU_PM_CUBE02","EUPM_Mittel2_Cube",Datenstand,"Alle Beteiligungen","Alle Koordinatoren","Alle Unternehmensgrößen","-2","Alle Organisationstypen",28,"Alle Expertevaluierungsstatus",$B13,"-2",M$4,"-2","Alle","-2","foerderung")</f>
        <v>148710881.90000001</v>
      </c>
    </row>
    <row r="14" spans="2:13" ht="15" customHeight="1">
      <c r="B14" t="s">
        <v>146</v>
      </c>
      <c r="C14" s="474"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Organisationstypen",28,"Alle Expertevaluierungsstatus",$B14,"-2",D$4,"-2","Alle","-2","foerderung")</f>
        <v>213578.09</v>
      </c>
      <c r="E14" s="226">
        <f ca="1">_xll.PALO.DATAC("jedoxtest/EU_PM_CUBE02","EUPM_Mittel2_Cube",Datenstand,"Alle Beteiligungen","Alle Koordinatoren","Alle Unternehmensgrößen","-2","Alle Organisationstypen",28,"Alle Expertevaluierungsstatus",$B14,"-2",E$4,"-2","Alle","-2","foerderung")</f>
        <v>536365</v>
      </c>
      <c r="F14" s="226">
        <f ca="1">_xll.PALO.DATAC("jedoxtest/EU_PM_CUBE02","EUPM_Mittel2_Cube",Datenstand,"Alle Beteiligungen","Alle Koordinatoren","Alle Unternehmensgrößen","-2","Alle Organisationstypen",28,"Alle Expertevaluierungsstatus",$B14,"-2",F$4,"-2","Alle","-2","foerderung")</f>
        <v>5529290.9400000004</v>
      </c>
      <c r="G14" s="226">
        <f ca="1">_xll.PALO.DATAC("jedoxtest/EU_PM_CUBE02","EUPM_Mittel2_Cube",Datenstand,"Alle Beteiligungen","Alle Koordinatoren","Alle Unternehmensgrößen","-2","Alle Organisationstypen",28,"Alle Expertevaluierungsstatus",$B14,"-2",G$4,"-2","Alle","-2","foerderung")</f>
        <v>1354538.75</v>
      </c>
      <c r="H14" s="226">
        <f ca="1">_xll.PALO.DATAC("jedoxtest/EU_PM_CUBE02","EUPM_Mittel2_Cube",Datenstand,"Alle Beteiligungen","Alle Koordinatoren","Alle Unternehmensgrößen","-2","Alle Organisationstypen",28,"Alle Expertevaluierungsstatus",$B14,"-2",H$4,"-2","Alle","-2","foerderung")</f>
        <v>2047646.03</v>
      </c>
      <c r="I14" s="226">
        <f ca="1">_xll.PALO.DATAC("jedoxtest/EU_PM_CUBE02","EUPM_Mittel2_Cube",Datenstand,"Alle Beteiligungen","Alle Koordinatoren","Alle Unternehmensgrößen","-2","Alle Organisationstypen",28,"Alle Expertevaluierungsstatus",$B14,"-2",I$4,"-2","Alle","-2","foerderung")</f>
        <v>3439658.48</v>
      </c>
      <c r="J14" s="226">
        <f ca="1">_xll.PALO.DATAC("jedoxtest/EU_PM_CUBE02","EUPM_Mittel2_Cube",Datenstand,"Alle Beteiligungen","Alle Koordinatoren","Alle Unternehmensgrößen","-2","Alle Organisationstypen",28,"Alle Expertevaluierungsstatus",$B14,"-2",J$4,"-2","Alle","-2","foerderung")</f>
        <v>2453324.38</v>
      </c>
      <c r="K14" s="226">
        <f ca="1">_xll.PALO.DATAC("jedoxtest/EU_PM_CUBE02","EUPM_Mittel2_Cube",Datenstand,"Alle Beteiligungen","Alle Koordinatoren","Alle Unternehmensgrößen","-2","Alle Organisationstypen",28,"Alle Expertevaluierungsstatus",$B14,"-2",K$4,"-2","Alle","-2","foerderung")</f>
        <v>410656</v>
      </c>
      <c r="L14" s="226">
        <f ca="1">_xll.PALO.DATAC("jedoxtest/EU_PM_CUBE02","EUPM_Mittel2_Cube",Datenstand,"Alle Beteiligungen","Alle Koordinatoren","Alle Unternehmensgrößen","-2","Alle Organisationstypen",28,"Alle Expertevaluierungsstatus",$B14,"-2",L$4,"-2","Alle","-2","foerderung")</f>
        <v>43731626.509999998</v>
      </c>
      <c r="M14" s="226">
        <f ca="1">_xll.PALO.DATAC("jedoxtest/EU_PM_CUBE02","EUPM_Mittel2_Cube",Datenstand,"Alle Beteiligungen","Alle Koordinatoren","Alle Unternehmensgrößen","-2","Alle Organisationstypen",28,"Alle Expertevaluierungsstatus",$B14,"-2",M$4,"-2","Alle","-2","foerderung")</f>
        <v>59716684.18</v>
      </c>
    </row>
    <row r="15" spans="2:13" ht="15" customHeight="1">
      <c r="B15" t="s">
        <v>147</v>
      </c>
      <c r="C15" s="474" t="str">
        <f ca="1">_xll.PALO.DATA("jedoxtest/EU_PM_CUBE02","#_Programme","Langbezeichnung",$B15)</f>
        <v>Civil Security for Society</v>
      </c>
      <c r="D15" s="226">
        <f ca="1">_xll.PALO.DATAC("jedoxtest/EU_PM_CUBE02","EUPM_Mittel2_Cube",Datenstand,"Alle Beteiligungen","Alle Koordinatoren","Alle Unternehmensgrößen","-2","Alle Organisationstypen",28,"Alle Expertevaluierungsstatus",$B15,"-2",D$4,"-2","Alle","-2","foerderung")</f>
        <v>0</v>
      </c>
      <c r="E15" s="226">
        <f ca="1">_xll.PALO.DATAC("jedoxtest/EU_PM_CUBE02","EUPM_Mittel2_Cube",Datenstand,"Alle Beteiligungen","Alle Koordinatoren","Alle Unternehmensgrößen","-2","Alle Organisationstypen",28,"Alle Expertevaluierungsstatus",$B15,"-2",E$4,"-2","Alle","-2","foerderung")</f>
        <v>981025</v>
      </c>
      <c r="F15" s="226">
        <f ca="1">_xll.PALO.DATAC("jedoxtest/EU_PM_CUBE02","EUPM_Mittel2_Cube",Datenstand,"Alle Beteiligungen","Alle Koordinatoren","Alle Unternehmensgrößen","-2","Alle Organisationstypen",28,"Alle Expertevaluierungsstatus",$B15,"-2",F$4,"-2","Alle","-2","foerderung")</f>
        <v>1284375</v>
      </c>
      <c r="G15" s="226">
        <f ca="1">_xll.PALO.DATAC("jedoxtest/EU_PM_CUBE02","EUPM_Mittel2_Cube",Datenstand,"Alle Beteiligungen","Alle Koordinatoren","Alle Unternehmensgrößen","-2","Alle Organisationstypen",28,"Alle Expertevaluierungsstatus",$B15,"-2",G$4,"-2","Alle","-2","foerderung")</f>
        <v>2595237.5099999998</v>
      </c>
      <c r="H15" s="226">
        <f ca="1">_xll.PALO.DATAC("jedoxtest/EU_PM_CUBE02","EUPM_Mittel2_Cube",Datenstand,"Alle Beteiligungen","Alle Koordinatoren","Alle Unternehmensgrößen","-2","Alle Organisationstypen",28,"Alle Expertevaluierungsstatus",$B15,"-2",H$4,"-2","Alle","-2","foerderung")</f>
        <v>309725</v>
      </c>
      <c r="I15" s="226">
        <f ca="1">_xll.PALO.DATAC("jedoxtest/EU_PM_CUBE02","EUPM_Mittel2_Cube",Datenstand,"Alle Beteiligungen","Alle Koordinatoren","Alle Unternehmensgrößen","-2","Alle Organisationstypen",28,"Alle Expertevaluierungsstatus",$B15,"-2",I$4,"-2","Alle","-2","foerderung")</f>
        <v>4419034.25</v>
      </c>
      <c r="J15" s="226">
        <f ca="1">_xll.PALO.DATAC("jedoxtest/EU_PM_CUBE02","EUPM_Mittel2_Cube",Datenstand,"Alle Beteiligungen","Alle Koordinatoren","Alle Unternehmensgrößen","-2","Alle Organisationstypen",28,"Alle Expertevaluierungsstatus",$B15,"-2",J$4,"-2","Alle","-2","foerderung")</f>
        <v>2323248.75</v>
      </c>
      <c r="K15" s="226">
        <f ca="1">_xll.PALO.DATAC("jedoxtest/EU_PM_CUBE02","EUPM_Mittel2_Cube",Datenstand,"Alle Beteiligungen","Alle Koordinatoren","Alle Unternehmensgrößen","-2","Alle Organisationstypen",28,"Alle Expertevaluierungsstatus",$B15,"-2",K$4,"-2","Alle","-2","foerderung")</f>
        <v>0</v>
      </c>
      <c r="L15" s="226">
        <f ca="1">_xll.PALO.DATAC("jedoxtest/EU_PM_CUBE02","EUPM_Mittel2_Cube",Datenstand,"Alle Beteiligungen","Alle Koordinatoren","Alle Unternehmensgrößen","-2","Alle Organisationstypen",28,"Alle Expertevaluierungsstatus",$B15,"-2",L$4,"-2","Alle","-2","foerderung")</f>
        <v>19009021.719999999</v>
      </c>
      <c r="M15" s="226">
        <f ca="1">_xll.PALO.DATAC("jedoxtest/EU_PM_CUBE02","EUPM_Mittel2_Cube",Datenstand,"Alle Beteiligungen","Alle Koordinatoren","Alle Unternehmensgrößen","-2","Alle Organisationstypen",28,"Alle Expertevaluierungsstatus",$B15,"-2",M$4,"-2","Alle","-2","foerderung")</f>
        <v>30921667.23</v>
      </c>
    </row>
    <row r="16" spans="2:13" ht="15" customHeight="1">
      <c r="B16" t="s">
        <v>148</v>
      </c>
      <c r="C16" s="474" t="str">
        <f ca="1">_xll.PALO.DATA("jedoxtest/EU_PM_CUBE02","#_Programme","Langbezeichnung",$B16)</f>
        <v>Digital, Industry and Space</v>
      </c>
      <c r="D16" s="226">
        <f ca="1">_xll.PALO.DATAC("jedoxtest/EU_PM_CUBE02","EUPM_Mittel2_Cube",Datenstand,"Alle Beteiligungen","Alle Koordinatoren","Alle Unternehmensgrößen","-2","Alle Organisationstypen",28,"Alle Expertevaluierungsstatus",$B16,"-2",D$4,"-2","Alle","-2","foerderung")</f>
        <v>328646</v>
      </c>
      <c r="E16" s="226">
        <f ca="1">_xll.PALO.DATAC("jedoxtest/EU_PM_CUBE02","EUPM_Mittel2_Cube",Datenstand,"Alle Beteiligungen","Alle Koordinatoren","Alle Unternehmensgrößen","-2","Alle Organisationstypen",28,"Alle Expertevaluierungsstatus",$B16,"-2",E$4,"-2","Alle","-2","foerderung")</f>
        <v>30869910</v>
      </c>
      <c r="F16" s="226">
        <f ca="1">_xll.PALO.DATAC("jedoxtest/EU_PM_CUBE02","EUPM_Mittel2_Cube",Datenstand,"Alle Beteiligungen","Alle Koordinatoren","Alle Unternehmensgrößen","-2","Alle Organisationstypen",28,"Alle Expertevaluierungsstatus",$B16,"-2",F$4,"-2","Alle","-2","foerderung")</f>
        <v>14236295.029999999</v>
      </c>
      <c r="G16" s="226">
        <f ca="1">_xll.PALO.DATAC("jedoxtest/EU_PM_CUBE02","EUPM_Mittel2_Cube",Datenstand,"Alle Beteiligungen","Alle Koordinatoren","Alle Unternehmensgrößen","-2","Alle Organisationstypen",28,"Alle Expertevaluierungsstatus",$B16,"-2",G$4,"-2","Alle","-2","foerderung")</f>
        <v>44722292.960000001</v>
      </c>
      <c r="H16" s="226">
        <f ca="1">_xll.PALO.DATAC("jedoxtest/EU_PM_CUBE02","EUPM_Mittel2_Cube",Datenstand,"Alle Beteiligungen","Alle Koordinatoren","Alle Unternehmensgrößen","-2","Alle Organisationstypen",28,"Alle Expertevaluierungsstatus",$B16,"-2",H$4,"-2","Alle","-2","foerderung")</f>
        <v>5185023.57</v>
      </c>
      <c r="I16" s="226">
        <f ca="1">_xll.PALO.DATAC("jedoxtest/EU_PM_CUBE02","EUPM_Mittel2_Cube",Datenstand,"Alle Beteiligungen","Alle Koordinatoren","Alle Unternehmensgrößen","-2","Alle Organisationstypen",28,"Alle Expertevaluierungsstatus",$B16,"-2",I$4,"-2","Alle","-2","foerderung")</f>
        <v>98705048.599999994</v>
      </c>
      <c r="J16" s="226">
        <f ca="1">_xll.PALO.DATAC("jedoxtest/EU_PM_CUBE02","EUPM_Mittel2_Cube",Datenstand,"Alle Beteiligungen","Alle Koordinatoren","Alle Unternehmensgrößen","-2","Alle Organisationstypen",28,"Alle Expertevaluierungsstatus",$B16,"-2",J$4,"-2","Alle","-2","foerderung")</f>
        <v>23614832.579999998</v>
      </c>
      <c r="K16" s="226">
        <f ca="1">_xll.PALO.DATAC("jedoxtest/EU_PM_CUBE02","EUPM_Mittel2_Cube",Datenstand,"Alle Beteiligungen","Alle Koordinatoren","Alle Unternehmensgrößen","-2","Alle Organisationstypen",28,"Alle Expertevaluierungsstatus",$B16,"-2",K$4,"-2","Alle","-2","foerderung")</f>
        <v>1163179.94</v>
      </c>
      <c r="L16" s="226">
        <f ca="1">_xll.PALO.DATAC("jedoxtest/EU_PM_CUBE02","EUPM_Mittel2_Cube",Datenstand,"Alle Beteiligungen","Alle Koordinatoren","Alle Unternehmensgrößen","-2","Alle Organisationstypen",28,"Alle Expertevaluierungsstatus",$B16,"-2",L$4,"-2","Alle","-2","foerderung")</f>
        <v>105989376.31</v>
      </c>
      <c r="M16" s="226">
        <f ca="1">_xll.PALO.DATAC("jedoxtest/EU_PM_CUBE02","EUPM_Mittel2_Cube",Datenstand,"Alle Beteiligungen","Alle Koordinatoren","Alle Unternehmensgrößen","-2","Alle Organisationstypen",28,"Alle Expertevaluierungsstatus",$B16,"-2",M$4,"-2","Alle","-2","foerderung")</f>
        <v>324814604.99000001</v>
      </c>
    </row>
    <row r="17" spans="1:13" ht="15" customHeight="1">
      <c r="B17" t="s">
        <v>149</v>
      </c>
      <c r="C17" s="474" t="str">
        <f ca="1">_xll.PALO.DATA("jedoxtest/EU_PM_CUBE02","#_Programme","Langbezeichnung",$B17)</f>
        <v>Climate, Energy and Mobility</v>
      </c>
      <c r="D17" s="226">
        <f ca="1">_xll.PALO.DATAC("jedoxtest/EU_PM_CUBE02","EUPM_Mittel2_Cube",Datenstand,"Alle Beteiligungen","Alle Koordinatoren","Alle Unternehmensgrößen","-2","Alle Organisationstypen",28,"Alle Expertevaluierungsstatus",$B17,"-2",D$4,"-2","Alle","-2","foerderung")</f>
        <v>1911825</v>
      </c>
      <c r="E17" s="226">
        <f ca="1">_xll.PALO.DATAC("jedoxtest/EU_PM_CUBE02","EUPM_Mittel2_Cube",Datenstand,"Alle Beteiligungen","Alle Koordinatoren","Alle Unternehmensgrößen","-2","Alle Organisationstypen",28,"Alle Expertevaluierungsstatus",$B17,"-2",E$4,"-2","Alle","-2","foerderung")</f>
        <v>7899722</v>
      </c>
      <c r="F17" s="226">
        <f ca="1">_xll.PALO.DATAC("jedoxtest/EU_PM_CUBE02","EUPM_Mittel2_Cube",Datenstand,"Alle Beteiligungen","Alle Koordinatoren","Alle Unternehmensgrößen","-2","Alle Organisationstypen",28,"Alle Expertevaluierungsstatus",$B17,"-2",F$4,"-2","Alle","-2","foerderung")</f>
        <v>32071548.91</v>
      </c>
      <c r="G17" s="226">
        <f ca="1">_xll.PALO.DATAC("jedoxtest/EU_PM_CUBE02","EUPM_Mittel2_Cube",Datenstand,"Alle Beteiligungen","Alle Koordinatoren","Alle Unternehmensgrößen","-2","Alle Organisationstypen",28,"Alle Expertevaluierungsstatus",$B17,"-2",G$4,"-2","Alle","-2","foerderung")</f>
        <v>22758716.84</v>
      </c>
      <c r="H17" s="226">
        <f ca="1">_xll.PALO.DATAC("jedoxtest/EU_PM_CUBE02","EUPM_Mittel2_Cube",Datenstand,"Alle Beteiligungen","Alle Koordinatoren","Alle Unternehmensgrößen","-2","Alle Organisationstypen",28,"Alle Expertevaluierungsstatus",$B17,"-2",H$4,"-2","Alle","-2","foerderung")</f>
        <v>4059274.5</v>
      </c>
      <c r="I17" s="226">
        <f ca="1">_xll.PALO.DATAC("jedoxtest/EU_PM_CUBE02","EUPM_Mittel2_Cube",Datenstand,"Alle Beteiligungen","Alle Koordinatoren","Alle Unternehmensgrößen","-2","Alle Organisationstypen",28,"Alle Expertevaluierungsstatus",$B17,"-2",I$4,"-2","Alle","-2","foerderung")</f>
        <v>95506754.950000003</v>
      </c>
      <c r="J17" s="226">
        <f ca="1">_xll.PALO.DATAC("jedoxtest/EU_PM_CUBE02","EUPM_Mittel2_Cube",Datenstand,"Alle Beteiligungen","Alle Koordinatoren","Alle Unternehmensgrößen","-2","Alle Organisationstypen",28,"Alle Expertevaluierungsstatus",$B17,"-2",J$4,"-2","Alle","-2","foerderung")</f>
        <v>11374895.869999999</v>
      </c>
      <c r="K17" s="226">
        <f ca="1">_xll.PALO.DATAC("jedoxtest/EU_PM_CUBE02","EUPM_Mittel2_Cube",Datenstand,"Alle Beteiligungen","Alle Koordinatoren","Alle Unternehmensgrößen","-2","Alle Organisationstypen",28,"Alle Expertevaluierungsstatus",$B17,"-2",K$4,"-2","Alle","-2","foerderung")</f>
        <v>580177</v>
      </c>
      <c r="L17" s="226">
        <f ca="1">_xll.PALO.DATAC("jedoxtest/EU_PM_CUBE02","EUPM_Mittel2_Cube",Datenstand,"Alle Beteiligungen","Alle Koordinatoren","Alle Unternehmensgrößen","-2","Alle Organisationstypen",28,"Alle Expertevaluierungsstatus",$B17,"-2",L$4,"-2","Alle","-2","foerderung")</f>
        <v>205198418.15000001</v>
      </c>
      <c r="M17" s="226">
        <f ca="1">_xll.PALO.DATAC("jedoxtest/EU_PM_CUBE02","EUPM_Mittel2_Cube",Datenstand,"Alle Beteiligungen","Alle Koordinatoren","Alle Unternehmensgrößen","-2","Alle Organisationstypen",28,"Alle Expertevaluierungsstatus",$B17,"-2",M$4,"-2","Alle","-2","foerderung")</f>
        <v>381361333.22000003</v>
      </c>
    </row>
    <row r="18" spans="1:13" ht="31.5" customHeight="1">
      <c r="B18" t="s">
        <v>150</v>
      </c>
      <c r="C18" s="474"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Organisationstypen",28,"Alle Expertevaluierungsstatus",$B18,"-2",D$4,"-2","Alle","-2","foerderung")</f>
        <v>597756.17000000004</v>
      </c>
      <c r="E18" s="226">
        <f ca="1">_xll.PALO.DATAC("jedoxtest/EU_PM_CUBE02","EUPM_Mittel2_Cube",Datenstand,"Alle Beteiligungen","Alle Koordinatoren","Alle Unternehmensgrößen","-2","Alle Organisationstypen",28,"Alle Expertevaluierungsstatus",$B18,"-2",E$4,"-2","Alle","-2","foerderung")</f>
        <v>2057958.66</v>
      </c>
      <c r="F18" s="226">
        <f ca="1">_xll.PALO.DATAC("jedoxtest/EU_PM_CUBE02","EUPM_Mittel2_Cube",Datenstand,"Alle Beteiligungen","Alle Koordinatoren","Alle Unternehmensgrößen","-2","Alle Organisationstypen",28,"Alle Expertevaluierungsstatus",$B18,"-2",F$4,"-2","Alle","-2","foerderung")</f>
        <v>29520196.84</v>
      </c>
      <c r="G18" s="226">
        <f ca="1">_xll.PALO.DATAC("jedoxtest/EU_PM_CUBE02","EUPM_Mittel2_Cube",Datenstand,"Alle Beteiligungen","Alle Koordinatoren","Alle Unternehmensgrößen","-2","Alle Organisationstypen",28,"Alle Expertevaluierungsstatus",$B18,"-2",G$4,"-2","Alle","-2","foerderung")</f>
        <v>10390288.880000001</v>
      </c>
      <c r="H18" s="226">
        <f ca="1">_xll.PALO.DATAC("jedoxtest/EU_PM_CUBE02","EUPM_Mittel2_Cube",Datenstand,"Alle Beteiligungen","Alle Koordinatoren","Alle Unternehmensgrößen","-2","Alle Organisationstypen",28,"Alle Expertevaluierungsstatus",$B18,"-2",H$4,"-2","Alle","-2","foerderung")</f>
        <v>985691.25</v>
      </c>
      <c r="I18" s="226">
        <f ca="1">_xll.PALO.DATAC("jedoxtest/EU_PM_CUBE02","EUPM_Mittel2_Cube",Datenstand,"Alle Beteiligungen","Alle Koordinatoren","Alle Unternehmensgrößen","-2","Alle Organisationstypen",28,"Alle Expertevaluierungsstatus",$B18,"-2",I$4,"-2","Alle","-2","foerderung")</f>
        <v>17363731.989999998</v>
      </c>
      <c r="J18" s="226">
        <f ca="1">_xll.PALO.DATAC("jedoxtest/EU_PM_CUBE02","EUPM_Mittel2_Cube",Datenstand,"Alle Beteiligungen","Alle Koordinatoren","Alle Unternehmensgrößen","-2","Alle Organisationstypen",28,"Alle Expertevaluierungsstatus",$B18,"-2",J$4,"-2","Alle","-2","foerderung")</f>
        <v>2670411</v>
      </c>
      <c r="K18" s="226">
        <f ca="1">_xll.PALO.DATAC("jedoxtest/EU_PM_CUBE02","EUPM_Mittel2_Cube",Datenstand,"Alle Beteiligungen","Alle Koordinatoren","Alle Unternehmensgrößen","-2","Alle Organisationstypen",28,"Alle Expertevaluierungsstatus",$B18,"-2",K$4,"-2","Alle","-2","foerderung")</f>
        <v>0</v>
      </c>
      <c r="L18" s="226">
        <f ca="1">_xll.PALO.DATAC("jedoxtest/EU_PM_CUBE02","EUPM_Mittel2_Cube",Datenstand,"Alle Beteiligungen","Alle Koordinatoren","Alle Unternehmensgrößen","-2","Alle Organisationstypen",28,"Alle Expertevaluierungsstatus",$B18,"-2",L$4,"-2","Alle","-2","foerderung")</f>
        <v>90365097.180000007</v>
      </c>
      <c r="M18" s="226">
        <f ca="1">_xll.PALO.DATAC("jedoxtest/EU_PM_CUBE02","EUPM_Mittel2_Cube",Datenstand,"Alle Beteiligungen","Alle Koordinatoren","Alle Unternehmensgrößen","-2","Alle Organisationstypen",28,"Alle Expertevaluierungsstatus",$B18,"-2",M$4,"-2","Alle","-2","foerderung")</f>
        <v>153951131.97</v>
      </c>
    </row>
    <row r="19" spans="1:13" ht="15" customHeight="1">
      <c r="B19" t="s">
        <v>151</v>
      </c>
      <c r="C19" s="368" t="str">
        <f ca="1">_xll.PALO.DATA("jedoxtest/EU_PM_CUBE02","#_Programme","Langbezeichnung",$B19)</f>
        <v>Innovative Europe</v>
      </c>
      <c r="D19" s="226">
        <f ca="1">_xll.PALO.DATAC("jedoxtest/EU_PM_CUBE02","EUPM_Mittel2_Cube",Datenstand,"Alle Beteiligungen","Alle Koordinatoren","Alle Unternehmensgrößen","-2","Alle Organisationstypen",28,"Alle Expertevaluierungsstatus",$B19,"-2",D$4,"-2","Alle","-2","foerderung")</f>
        <v>166481.25</v>
      </c>
      <c r="E19" s="226">
        <f ca="1">_xll.PALO.DATAC("jedoxtest/EU_PM_CUBE02","EUPM_Mittel2_Cube",Datenstand,"Alle Beteiligungen","Alle Koordinatoren","Alle Unternehmensgrößen","-2","Alle Organisationstypen",28,"Alle Expertevaluierungsstatus",$B19,"-2",E$4,"-2","Alle","-2","foerderung")</f>
        <v>1289305</v>
      </c>
      <c r="F19" s="226">
        <f ca="1">_xll.PALO.DATAC("jedoxtest/EU_PM_CUBE02","EUPM_Mittel2_Cube",Datenstand,"Alle Beteiligungen","Alle Koordinatoren","Alle Unternehmensgrößen","-2","Alle Organisationstypen",28,"Alle Expertevaluierungsstatus",$B19,"-2",F$4,"-2","Alle","-2","foerderung")</f>
        <v>18718105.379999999</v>
      </c>
      <c r="G19" s="226">
        <f ca="1">_xll.PALO.DATAC("jedoxtest/EU_PM_CUBE02","EUPM_Mittel2_Cube",Datenstand,"Alle Beteiligungen","Alle Koordinatoren","Alle Unternehmensgrößen","-2","Alle Organisationstypen",28,"Alle Expertevaluierungsstatus",$B19,"-2",G$4,"-2","Alle","-2","foerderung")</f>
        <v>7414498.9400000004</v>
      </c>
      <c r="H19" s="226">
        <f ca="1">_xll.PALO.DATAC("jedoxtest/EU_PM_CUBE02","EUPM_Mittel2_Cube",Datenstand,"Alle Beteiligungen","Alle Koordinatoren","Alle Unternehmensgrößen","-2","Alle Organisationstypen",28,"Alle Expertevaluierungsstatus",$B19,"-2",H$4,"-2","Alle","-2","foerderung")</f>
        <v>746586.25</v>
      </c>
      <c r="I19" s="226">
        <f ca="1">_xll.PALO.DATAC("jedoxtest/EU_PM_CUBE02","EUPM_Mittel2_Cube",Datenstand,"Alle Beteiligungen","Alle Koordinatoren","Alle Unternehmensgrößen","-2","Alle Organisationstypen",28,"Alle Expertevaluierungsstatus",$B19,"-2",I$4,"-2","Alle","-2","foerderung")</f>
        <v>28715416.309999999</v>
      </c>
      <c r="J19" s="226">
        <f ca="1">_xll.PALO.DATAC("jedoxtest/EU_PM_CUBE02","EUPM_Mittel2_Cube",Datenstand,"Alle Beteiligungen","Alle Koordinatoren","Alle Unternehmensgrößen","-2","Alle Organisationstypen",28,"Alle Expertevaluierungsstatus",$B19,"-2",J$4,"-2","Alle","-2","foerderung")</f>
        <v>6742307.5</v>
      </c>
      <c r="K19" s="226">
        <f ca="1">_xll.PALO.DATAC("jedoxtest/EU_PM_CUBE02","EUPM_Mittel2_Cube",Datenstand,"Alle Beteiligungen","Alle Koordinatoren","Alle Unternehmensgrößen","-2","Alle Organisationstypen",28,"Alle Expertevaluierungsstatus",$B19,"-2",K$4,"-2","Alle","-2","foerderung")</f>
        <v>0</v>
      </c>
      <c r="L19" s="226">
        <f ca="1">_xll.PALO.DATAC("jedoxtest/EU_PM_CUBE02","EUPM_Mittel2_Cube",Datenstand,"Alle Beteiligungen","Alle Koordinatoren","Alle Unternehmensgrößen","-2","Alle Organisationstypen",28,"Alle Expertevaluierungsstatus",$B19,"-2",L$4,"-2","Alle","-2","foerderung")</f>
        <v>56568050.479999997</v>
      </c>
      <c r="M19" s="226">
        <f ca="1">_xll.PALO.DATAC("jedoxtest/EU_PM_CUBE02","EUPM_Mittel2_Cube",Datenstand,"Alle Beteiligungen","Alle Koordinatoren","Alle Unternehmensgrößen","-2","Alle Organisationstypen",28,"Alle Expertevaluierungsstatus",$B19,"-2",M$4,"-2","Alle","-2","foerderung")</f>
        <v>120360751.11</v>
      </c>
    </row>
    <row r="20" spans="1:13" ht="15" customHeight="1">
      <c r="B20" t="s">
        <v>152</v>
      </c>
      <c r="C20" s="474" t="str">
        <f ca="1">_xll.PALO.DATA("jedoxtest/EU_PM_CUBE02","#_Programme","Langbezeichnung",$B20)</f>
        <v>The European Innovation Council (EIC)</v>
      </c>
      <c r="D20" s="226">
        <f ca="1">_xll.PALO.DATAC("jedoxtest/EU_PM_CUBE02","EUPM_Mittel2_Cube",Datenstand,"Alle Beteiligungen","Alle Koordinatoren","Alle Unternehmensgrößen","-2","Alle Organisationstypen",28,"Alle Expertevaluierungsstatus",$B20,"-2",D$4,"-2","Alle","-2","foerderung")</f>
        <v>0</v>
      </c>
      <c r="E20" s="226">
        <f ca="1">_xll.PALO.DATAC("jedoxtest/EU_PM_CUBE02","EUPM_Mittel2_Cube",Datenstand,"Alle Beteiligungen","Alle Koordinatoren","Alle Unternehmensgrößen","-2","Alle Organisationstypen",28,"Alle Expertevaluierungsstatus",$B20,"-2",E$4,"-2","Alle","-2","foerderung")</f>
        <v>1289305</v>
      </c>
      <c r="F20" s="226">
        <f ca="1">_xll.PALO.DATAC("jedoxtest/EU_PM_CUBE02","EUPM_Mittel2_Cube",Datenstand,"Alle Beteiligungen","Alle Koordinatoren","Alle Unternehmensgrößen","-2","Alle Organisationstypen",28,"Alle Expertevaluierungsstatus",$B20,"-2",F$4,"-2","Alle","-2","foerderung")</f>
        <v>18213548.5</v>
      </c>
      <c r="G20" s="226">
        <f ca="1">_xll.PALO.DATAC("jedoxtest/EU_PM_CUBE02","EUPM_Mittel2_Cube",Datenstand,"Alle Beteiligungen","Alle Koordinatoren","Alle Unternehmensgrößen","-2","Alle Organisationstypen",28,"Alle Expertevaluierungsstatus",$B20,"-2",G$4,"-2","Alle","-2","foerderung")</f>
        <v>7339498.9400000004</v>
      </c>
      <c r="H20" s="226">
        <f ca="1">_xll.PALO.DATAC("jedoxtest/EU_PM_CUBE02","EUPM_Mittel2_Cube",Datenstand,"Alle Beteiligungen","Alle Koordinatoren","Alle Unternehmensgrößen","-2","Alle Organisationstypen",28,"Alle Expertevaluierungsstatus",$B20,"-2",H$4,"-2","Alle","-2","foerderung")</f>
        <v>746586.25</v>
      </c>
      <c r="I20" s="226">
        <f ca="1">_xll.PALO.DATAC("jedoxtest/EU_PM_CUBE02","EUPM_Mittel2_Cube",Datenstand,"Alle Beteiligungen","Alle Koordinatoren","Alle Unternehmensgrößen","-2","Alle Organisationstypen",28,"Alle Expertevaluierungsstatus",$B20,"-2",I$4,"-2","Alle","-2","foerderung")</f>
        <v>28407291.309999999</v>
      </c>
      <c r="J20" s="226">
        <f ca="1">_xll.PALO.DATAC("jedoxtest/EU_PM_CUBE02","EUPM_Mittel2_Cube",Datenstand,"Alle Beteiligungen","Alle Koordinatoren","Alle Unternehmensgrößen","-2","Alle Organisationstypen",28,"Alle Expertevaluierungsstatus",$B20,"-2",J$4,"-2","Alle","-2","foerderung")</f>
        <v>6742307.5</v>
      </c>
      <c r="K20" s="226">
        <f ca="1">_xll.PALO.DATAC("jedoxtest/EU_PM_CUBE02","EUPM_Mittel2_Cube",Datenstand,"Alle Beteiligungen","Alle Koordinatoren","Alle Unternehmensgrößen","-2","Alle Organisationstypen",28,"Alle Expertevaluierungsstatus",$B20,"-2",K$4,"-2","Alle","-2","foerderung")</f>
        <v>0</v>
      </c>
      <c r="L20" s="226">
        <f ca="1">_xll.PALO.DATAC("jedoxtest/EU_PM_CUBE02","EUPM_Mittel2_Cube",Datenstand,"Alle Beteiligungen","Alle Koordinatoren","Alle Unternehmensgrößen","-2","Alle Organisationstypen",28,"Alle Expertevaluierungsstatus",$B20,"-2",L$4,"-2","Alle","-2","foerderung")</f>
        <v>36932221.890000001</v>
      </c>
      <c r="M20" s="226">
        <f ca="1">_xll.PALO.DATAC("jedoxtest/EU_PM_CUBE02","EUPM_Mittel2_Cube",Datenstand,"Alle Beteiligungen","Alle Koordinatoren","Alle Unternehmensgrößen","-2","Alle Organisationstypen",28,"Alle Expertevaluierungsstatus",$B20,"-2",M$4,"-2","Alle","-2","foerderung")</f>
        <v>99670759.390000001</v>
      </c>
    </row>
    <row r="21" spans="1:13" ht="15" customHeight="1">
      <c r="B21" t="s">
        <v>153</v>
      </c>
      <c r="C21" s="474" t="str">
        <f ca="1">_xll.PALO.DATA("jedoxtest/EU_PM_CUBE02","#_Programme","Langbezeichnung",$B21)</f>
        <v>European innovation ecosystems</v>
      </c>
      <c r="D21" s="226">
        <f ca="1">_xll.PALO.DATAC("jedoxtest/EU_PM_CUBE02","EUPM_Mittel2_Cube",Datenstand,"Alle Beteiligungen","Alle Koordinatoren","Alle Unternehmensgrößen","-2","Alle Organisationstypen",28,"Alle Expertevaluierungsstatus",$B21,"-2",D$4,"-2","Alle","-2","foerderung")</f>
        <v>166481.25</v>
      </c>
      <c r="E21" s="226">
        <f ca="1">_xll.PALO.DATAC("jedoxtest/EU_PM_CUBE02","EUPM_Mittel2_Cube",Datenstand,"Alle Beteiligungen","Alle Koordinatoren","Alle Unternehmensgrößen","-2","Alle Organisationstypen",28,"Alle Expertevaluierungsstatus",$B21,"-2",E$4,"-2","Alle","-2","foerderung")</f>
        <v>0</v>
      </c>
      <c r="F21" s="226">
        <f ca="1">_xll.PALO.DATAC("jedoxtest/EU_PM_CUBE02","EUPM_Mittel2_Cube",Datenstand,"Alle Beteiligungen","Alle Koordinatoren","Alle Unternehmensgrößen","-2","Alle Organisationstypen",28,"Alle Expertevaluierungsstatus",$B21,"-2",F$4,"-2","Alle","-2","foerderung")</f>
        <v>504556.88</v>
      </c>
      <c r="G21" s="226">
        <f ca="1">_xll.PALO.DATAC("jedoxtest/EU_PM_CUBE02","EUPM_Mittel2_Cube",Datenstand,"Alle Beteiligungen","Alle Koordinatoren","Alle Unternehmensgrößen","-2","Alle Organisationstypen",28,"Alle Expertevaluierungsstatus",$B21,"-2",G$4,"-2","Alle","-2","foerderung")</f>
        <v>75000</v>
      </c>
      <c r="H21" s="226">
        <f ca="1">_xll.PALO.DATAC("jedoxtest/EU_PM_CUBE02","EUPM_Mittel2_Cube",Datenstand,"Alle Beteiligungen","Alle Koordinatoren","Alle Unternehmensgrößen","-2","Alle Organisationstypen",28,"Alle Expertevaluierungsstatus",$B21,"-2",H$4,"-2","Alle","-2","foerderung")</f>
        <v>0</v>
      </c>
      <c r="I21" s="226">
        <f ca="1">_xll.PALO.DATAC("jedoxtest/EU_PM_CUBE02","EUPM_Mittel2_Cube",Datenstand,"Alle Beteiligungen","Alle Koordinatoren","Alle Unternehmensgrößen","-2","Alle Organisationstypen",28,"Alle Expertevaluierungsstatus",$B21,"-2",I$4,"-2","Alle","-2","foerderung")</f>
        <v>308125</v>
      </c>
      <c r="J21" s="226">
        <f ca="1">_xll.PALO.DATAC("jedoxtest/EU_PM_CUBE02","EUPM_Mittel2_Cube",Datenstand,"Alle Beteiligungen","Alle Koordinatoren","Alle Unternehmensgrößen","-2","Alle Organisationstypen",28,"Alle Expertevaluierungsstatus",$B21,"-2",J$4,"-2","Alle","-2","foerderung")</f>
        <v>0</v>
      </c>
      <c r="K21" s="226">
        <f ca="1">_xll.PALO.DATAC("jedoxtest/EU_PM_CUBE02","EUPM_Mittel2_Cube",Datenstand,"Alle Beteiligungen","Alle Koordinatoren","Alle Unternehmensgrößen","-2","Alle Organisationstypen",28,"Alle Expertevaluierungsstatus",$B21,"-2",K$4,"-2","Alle","-2","foerderung")</f>
        <v>0</v>
      </c>
      <c r="L21" s="226">
        <f ca="1">_xll.PALO.DATAC("jedoxtest/EU_PM_CUBE02","EUPM_Mittel2_Cube",Datenstand,"Alle Beteiligungen","Alle Koordinatoren","Alle Unternehmensgrößen","-2","Alle Organisationstypen",28,"Alle Expertevaluierungsstatus",$B21,"-2",L$4,"-2","Alle","-2","foerderung")</f>
        <v>15578885.25</v>
      </c>
      <c r="M21" s="226">
        <f ca="1">_xll.PALO.DATAC("jedoxtest/EU_PM_CUBE02","EUPM_Mittel2_Cube",Datenstand,"Alle Beteiligungen","Alle Koordinatoren","Alle Unternehmensgrößen","-2","Alle Organisationstypen",28,"Alle Expertevaluierungsstatus",$B21,"-2",M$4,"-2","Alle","-2","foerderung")</f>
        <v>16633048.380000001</v>
      </c>
    </row>
    <row r="22" spans="1:13" ht="29.25" customHeight="1">
      <c r="B22" t="s">
        <v>154</v>
      </c>
      <c r="C22" s="474"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Organisationstypen",28,"Alle Expertevaluierungsstatus",$B22,"-2",D$4,"-2","Alle","-2","foerderung")</f>
        <v>0</v>
      </c>
      <c r="E22" s="226">
        <f ca="1">_xll.PALO.DATAC("jedoxtest/EU_PM_CUBE02","EUPM_Mittel2_Cube",Datenstand,"Alle Beteiligungen","Alle Koordinatoren","Alle Unternehmensgrößen","-2","Alle Organisationstypen",28,"Alle Expertevaluierungsstatus",$B22,"-2",E$4,"-2","Alle","-2","foerderung")</f>
        <v>0</v>
      </c>
      <c r="F22" s="226">
        <f ca="1">_xll.PALO.DATAC("jedoxtest/EU_PM_CUBE02","EUPM_Mittel2_Cube",Datenstand,"Alle Beteiligungen","Alle Koordinatoren","Alle Unternehmensgrößen","-2","Alle Organisationstypen",28,"Alle Expertevaluierungsstatus",$B22,"-2",F$4,"-2","Alle","-2","foerderung")</f>
        <v>0</v>
      </c>
      <c r="G22" s="226">
        <f ca="1">_xll.PALO.DATAC("jedoxtest/EU_PM_CUBE02","EUPM_Mittel2_Cube",Datenstand,"Alle Beteiligungen","Alle Koordinatoren","Alle Unternehmensgrößen","-2","Alle Organisationstypen",28,"Alle Expertevaluierungsstatus",$B22,"-2",G$4,"-2","Alle","-2","foerderung")</f>
        <v>0</v>
      </c>
      <c r="H22" s="226">
        <f ca="1">_xll.PALO.DATAC("jedoxtest/EU_PM_CUBE02","EUPM_Mittel2_Cube",Datenstand,"Alle Beteiligungen","Alle Koordinatoren","Alle Unternehmensgrößen","-2","Alle Organisationstypen",28,"Alle Expertevaluierungsstatus",$B22,"-2",H$4,"-2","Alle","-2","foerderung")</f>
        <v>0</v>
      </c>
      <c r="I22" s="226">
        <f ca="1">_xll.PALO.DATAC("jedoxtest/EU_PM_CUBE02","EUPM_Mittel2_Cube",Datenstand,"Alle Beteiligungen","Alle Koordinatoren","Alle Unternehmensgrößen","-2","Alle Organisationstypen",28,"Alle Expertevaluierungsstatus",$B22,"-2",I$4,"-2","Alle","-2","foerderung")</f>
        <v>0</v>
      </c>
      <c r="J22" s="226">
        <f ca="1">_xll.PALO.DATAC("jedoxtest/EU_PM_CUBE02","EUPM_Mittel2_Cube",Datenstand,"Alle Beteiligungen","Alle Koordinatoren","Alle Unternehmensgrößen","-2","Alle Organisationstypen",28,"Alle Expertevaluierungsstatus",$B22,"-2",J$4,"-2","Alle","-2","foerderung")</f>
        <v>0</v>
      </c>
      <c r="K22" s="226">
        <f ca="1">_xll.PALO.DATAC("jedoxtest/EU_PM_CUBE02","EUPM_Mittel2_Cube",Datenstand,"Alle Beteiligungen","Alle Koordinatoren","Alle Unternehmensgrößen","-2","Alle Organisationstypen",28,"Alle Expertevaluierungsstatus",$B22,"-2",K$4,"-2","Alle","-2","foerderung")</f>
        <v>0</v>
      </c>
      <c r="L22" s="226">
        <f ca="1">_xll.PALO.DATAC("jedoxtest/EU_PM_CUBE02","EUPM_Mittel2_Cube",Datenstand,"Alle Beteiligungen","Alle Koordinatoren","Alle Unternehmensgrößen","-2","Alle Organisationstypen",28,"Alle Expertevaluierungsstatus",$B22,"-2",L$4,"-2","Alle","-2","foerderung")</f>
        <v>4056943.34</v>
      </c>
      <c r="M22" s="226">
        <f ca="1">_xll.PALO.DATAC("jedoxtest/EU_PM_CUBE02","EUPM_Mittel2_Cube",Datenstand,"Alle Beteiligungen","Alle Koordinatoren","Alle Unternehmensgrößen","-2","Alle Organisationstypen",28,"Alle Expertevaluierungsstatus",$B22,"-2",M$4,"-2","Alle","-2","foerderung")</f>
        <v>4056943.34</v>
      </c>
    </row>
    <row r="23" spans="1:13" ht="31.5" customHeight="1">
      <c r="B23" t="s">
        <v>155</v>
      </c>
      <c r="C23" s="368" t="str">
        <f ca="1">_xll.PALO.DATA("jedoxtest/EU_PM_CUBE02","#_Programme","Langbezeichnung",$B23)</f>
        <v>Widening Participation and Strengthening the European Research Area</v>
      </c>
      <c r="D23" s="226">
        <f ca="1">_xll.PALO.DATAC("jedoxtest/EU_PM_CUBE02","EUPM_Mittel2_Cube",Datenstand,"Alle Beteiligungen","Alle Koordinatoren","Alle Unternehmensgrößen","-2","Alle Organisationstypen",28,"Alle Expertevaluierungsstatus",$B23,"-2",D$4,"-2","Alle","-2","foerderung")</f>
        <v>0</v>
      </c>
      <c r="E23" s="226">
        <f ca="1">_xll.PALO.DATAC("jedoxtest/EU_PM_CUBE02","EUPM_Mittel2_Cube",Datenstand,"Alle Beteiligungen","Alle Koordinatoren","Alle Unternehmensgrößen","-2","Alle Organisationstypen",28,"Alle Expertevaluierungsstatus",$B23,"-2",E$4,"-2","Alle","-2","foerderung")</f>
        <v>330250</v>
      </c>
      <c r="F23" s="226">
        <f ca="1">_xll.PALO.DATAC("jedoxtest/EU_PM_CUBE02","EUPM_Mittel2_Cube",Datenstand,"Alle Beteiligungen","Alle Koordinatoren","Alle Unternehmensgrößen","-2","Alle Organisationstypen",28,"Alle Expertevaluierungsstatus",$B23,"-2",F$4,"-2","Alle","-2","foerderung")</f>
        <v>1402991.84</v>
      </c>
      <c r="G23" s="226">
        <f ca="1">_xll.PALO.DATAC("jedoxtest/EU_PM_CUBE02","EUPM_Mittel2_Cube",Datenstand,"Alle Beteiligungen","Alle Koordinatoren","Alle Unternehmensgrößen","-2","Alle Organisationstypen",28,"Alle Expertevaluierungsstatus",$B23,"-2",G$4,"-2","Alle","-2","foerderung")</f>
        <v>2365613.5</v>
      </c>
      <c r="H23" s="226">
        <f ca="1">_xll.PALO.DATAC("jedoxtest/EU_PM_CUBE02","EUPM_Mittel2_Cube",Datenstand,"Alle Beteiligungen","Alle Koordinatoren","Alle Unternehmensgrößen","-2","Alle Organisationstypen",28,"Alle Expertevaluierungsstatus",$B23,"-2",H$4,"-2","Alle","-2","foerderung")</f>
        <v>0</v>
      </c>
      <c r="I23" s="226">
        <f ca="1">_xll.PALO.DATAC("jedoxtest/EU_PM_CUBE02","EUPM_Mittel2_Cube",Datenstand,"Alle Beteiligungen","Alle Koordinatoren","Alle Unternehmensgrößen","-2","Alle Organisationstypen",28,"Alle Expertevaluierungsstatus",$B23,"-2",I$4,"-2","Alle","-2","foerderung")</f>
        <v>5035979.13</v>
      </c>
      <c r="J23" s="226">
        <f ca="1">_xll.PALO.DATAC("jedoxtest/EU_PM_CUBE02","EUPM_Mittel2_Cube",Datenstand,"Alle Beteiligungen","Alle Koordinatoren","Alle Unternehmensgrößen","-2","Alle Organisationstypen",28,"Alle Expertevaluierungsstatus",$B23,"-2",J$4,"-2","Alle","-2","foerderung")</f>
        <v>124375</v>
      </c>
      <c r="K23" s="226">
        <f ca="1">_xll.PALO.DATAC("jedoxtest/EU_PM_CUBE02","EUPM_Mittel2_Cube",Datenstand,"Alle Beteiligungen","Alle Koordinatoren","Alle Unternehmensgrößen","-2","Alle Organisationstypen",28,"Alle Expertevaluierungsstatus",$B23,"-2",K$4,"-2","Alle","-2","foerderung")</f>
        <v>0</v>
      </c>
      <c r="L23" s="226">
        <f ca="1">_xll.PALO.DATAC("jedoxtest/EU_PM_CUBE02","EUPM_Mittel2_Cube",Datenstand,"Alle Beteiligungen","Alle Koordinatoren","Alle Unternehmensgrößen","-2","Alle Organisationstypen",28,"Alle Expertevaluierungsstatus",$B23,"-2",L$4,"-2","Alle","-2","foerderung")</f>
        <v>17396609.219999999</v>
      </c>
      <c r="M23" s="226">
        <f ca="1">_xll.PALO.DATAC("jedoxtest/EU_PM_CUBE02","EUPM_Mittel2_Cube",Datenstand,"Alle Beteiligungen","Alle Koordinatoren","Alle Unternehmensgrößen","-2","Alle Organisationstypen",28,"Alle Expertevaluierungsstatus",$B23,"-2",M$4,"-2","Alle","-2","foerderung")</f>
        <v>26655818.690000001</v>
      </c>
    </row>
    <row r="24" spans="1:13" ht="29.25" customHeight="1">
      <c r="B24" t="s">
        <v>156</v>
      </c>
      <c r="C24" s="474"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Organisationstypen",28,"Alle Expertevaluierungsstatus",$B24,"-2",D$4,"-2","Alle","-2","foerderung")</f>
        <v>0</v>
      </c>
      <c r="E24" s="226">
        <f ca="1">_xll.PALO.DATAC("jedoxtest/EU_PM_CUBE02","EUPM_Mittel2_Cube",Datenstand,"Alle Beteiligungen","Alle Koordinatoren","Alle Unternehmensgrößen","-2","Alle Organisationstypen",28,"Alle Expertevaluierungsstatus",$B24,"-2",E$4,"-2","Alle","-2","foerderung")</f>
        <v>330250</v>
      </c>
      <c r="F24" s="226">
        <f ca="1">_xll.PALO.DATAC("jedoxtest/EU_PM_CUBE02","EUPM_Mittel2_Cube",Datenstand,"Alle Beteiligungen","Alle Koordinatoren","Alle Unternehmensgrößen","-2","Alle Organisationstypen",28,"Alle Expertevaluierungsstatus",$B24,"-2",F$4,"-2","Alle","-2","foerderung")</f>
        <v>450075.59</v>
      </c>
      <c r="G24" s="226">
        <f ca="1">_xll.PALO.DATAC("jedoxtest/EU_PM_CUBE02","EUPM_Mittel2_Cube",Datenstand,"Alle Beteiligungen","Alle Koordinatoren","Alle Unternehmensgrößen","-2","Alle Organisationstypen",28,"Alle Expertevaluierungsstatus",$B24,"-2",G$4,"-2","Alle","-2","foerderung")</f>
        <v>1686512.5</v>
      </c>
      <c r="H24" s="226">
        <f ca="1">_xll.PALO.DATAC("jedoxtest/EU_PM_CUBE02","EUPM_Mittel2_Cube",Datenstand,"Alle Beteiligungen","Alle Koordinatoren","Alle Unternehmensgrößen","-2","Alle Organisationstypen",28,"Alle Expertevaluierungsstatus",$B24,"-2",H$4,"-2","Alle","-2","foerderung")</f>
        <v>0</v>
      </c>
      <c r="I24" s="226">
        <f ca="1">_xll.PALO.DATAC("jedoxtest/EU_PM_CUBE02","EUPM_Mittel2_Cube",Datenstand,"Alle Beteiligungen","Alle Koordinatoren","Alle Unternehmensgrößen","-2","Alle Organisationstypen",28,"Alle Expertevaluierungsstatus",$B24,"-2",I$4,"-2","Alle","-2","foerderung")</f>
        <v>2640768.13</v>
      </c>
      <c r="J24" s="226">
        <f ca="1">_xll.PALO.DATAC("jedoxtest/EU_PM_CUBE02","EUPM_Mittel2_Cube",Datenstand,"Alle Beteiligungen","Alle Koordinatoren","Alle Unternehmensgrößen","-2","Alle Organisationstypen",28,"Alle Expertevaluierungsstatus",$B24,"-2",J$4,"-2","Alle","-2","foerderung")</f>
        <v>124375</v>
      </c>
      <c r="K24" s="226">
        <f ca="1">_xll.PALO.DATAC("jedoxtest/EU_PM_CUBE02","EUPM_Mittel2_Cube",Datenstand,"Alle Beteiligungen","Alle Koordinatoren","Alle Unternehmensgrößen","-2","Alle Organisationstypen",28,"Alle Expertevaluierungsstatus",$B24,"-2",K$4,"-2","Alle","-2","foerderung")</f>
        <v>0</v>
      </c>
      <c r="L24" s="226">
        <f ca="1">_xll.PALO.DATAC("jedoxtest/EU_PM_CUBE02","EUPM_Mittel2_Cube",Datenstand,"Alle Beteiligungen","Alle Koordinatoren","Alle Unternehmensgrößen","-2","Alle Organisationstypen",28,"Alle Expertevaluierungsstatus",$B24,"-2",L$4,"-2","Alle","-2","foerderung")</f>
        <v>8252929.54</v>
      </c>
      <c r="M24" s="226">
        <f ca="1">_xll.PALO.DATAC("jedoxtest/EU_PM_CUBE02","EUPM_Mittel2_Cube",Datenstand,"Alle Beteiligungen","Alle Koordinatoren","Alle Unternehmensgrößen","-2","Alle Organisationstypen",28,"Alle Expertevaluierungsstatus",$B24,"-2",M$4,"-2","Alle","-2","foerderung")</f>
        <v>13484910.76</v>
      </c>
    </row>
    <row r="25" spans="1:13" ht="29.25" customHeight="1">
      <c r="B25" t="s">
        <v>157</v>
      </c>
      <c r="C25" s="474"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Organisationstypen",28,"Alle Expertevaluierungsstatus",$B25,"-2",D$4,"-2","Alle","-2","foerderung")</f>
        <v>0</v>
      </c>
      <c r="E25" s="226">
        <f ca="1">_xll.PALO.DATAC("jedoxtest/EU_PM_CUBE02","EUPM_Mittel2_Cube",Datenstand,"Alle Beteiligungen","Alle Koordinatoren","Alle Unternehmensgrößen","-2","Alle Organisationstypen",28,"Alle Expertevaluierungsstatus",$B25,"-2",E$4,"-2","Alle","-2","foerderung")</f>
        <v>0</v>
      </c>
      <c r="F25" s="226">
        <f ca="1">_xll.PALO.DATAC("jedoxtest/EU_PM_CUBE02","EUPM_Mittel2_Cube",Datenstand,"Alle Beteiligungen","Alle Koordinatoren","Alle Unternehmensgrößen","-2","Alle Organisationstypen",28,"Alle Expertevaluierungsstatus",$B25,"-2",F$4,"-2","Alle","-2","foerderung")</f>
        <v>952916.25</v>
      </c>
      <c r="G25" s="226">
        <f ca="1">_xll.PALO.DATAC("jedoxtest/EU_PM_CUBE02","EUPM_Mittel2_Cube",Datenstand,"Alle Beteiligungen","Alle Koordinatoren","Alle Unternehmensgrößen","-2","Alle Organisationstypen",28,"Alle Expertevaluierungsstatus",$B25,"-2",G$4,"-2","Alle","-2","foerderung")</f>
        <v>679101</v>
      </c>
      <c r="H25" s="226">
        <f ca="1">_xll.PALO.DATAC("jedoxtest/EU_PM_CUBE02","EUPM_Mittel2_Cube",Datenstand,"Alle Beteiligungen","Alle Koordinatoren","Alle Unternehmensgrößen","-2","Alle Organisationstypen",28,"Alle Expertevaluierungsstatus",$B25,"-2",H$4,"-2","Alle","-2","foerderung")</f>
        <v>0</v>
      </c>
      <c r="I25" s="226">
        <f ca="1">_xll.PALO.DATAC("jedoxtest/EU_PM_CUBE02","EUPM_Mittel2_Cube",Datenstand,"Alle Beteiligungen","Alle Koordinatoren","Alle Unternehmensgrößen","-2","Alle Organisationstypen",28,"Alle Expertevaluierungsstatus",$B25,"-2",I$4,"-2","Alle","-2","foerderung")</f>
        <v>2395211</v>
      </c>
      <c r="J25" s="226">
        <f ca="1">_xll.PALO.DATAC("jedoxtest/EU_PM_CUBE02","EUPM_Mittel2_Cube",Datenstand,"Alle Beteiligungen","Alle Koordinatoren","Alle Unternehmensgrößen","-2","Alle Organisationstypen",28,"Alle Expertevaluierungsstatus",$B25,"-2",J$4,"-2","Alle","-2","foerderung")</f>
        <v>0</v>
      </c>
      <c r="K25" s="226">
        <f ca="1">_xll.PALO.DATAC("jedoxtest/EU_PM_CUBE02","EUPM_Mittel2_Cube",Datenstand,"Alle Beteiligungen","Alle Koordinatoren","Alle Unternehmensgrößen","-2","Alle Organisationstypen",28,"Alle Expertevaluierungsstatus",$B25,"-2",K$4,"-2","Alle","-2","foerderung")</f>
        <v>0</v>
      </c>
      <c r="L25" s="226">
        <f ca="1">_xll.PALO.DATAC("jedoxtest/EU_PM_CUBE02","EUPM_Mittel2_Cube",Datenstand,"Alle Beteiligungen","Alle Koordinatoren","Alle Unternehmensgrößen","-2","Alle Organisationstypen",28,"Alle Expertevaluierungsstatus",$B25,"-2",L$4,"-2","Alle","-2","foerderung")</f>
        <v>9143679.6799999997</v>
      </c>
      <c r="M25" s="226">
        <f ca="1">_xll.PALO.DATAC("jedoxtest/EU_PM_CUBE02","EUPM_Mittel2_Cube",Datenstand,"Alle Beteiligungen","Alle Koordinatoren","Alle Unternehmensgrößen","-2","Alle Organisationstypen",28,"Alle Expertevaluierungsstatus",$B25,"-2",M$4,"-2","Alle","-2","foerderung")</f>
        <v>13170907.93</v>
      </c>
    </row>
    <row r="26" spans="1:13" ht="15" hidden="1" customHeight="1">
      <c r="B26" t="s">
        <v>158</v>
      </c>
      <c r="C26" s="369" t="str">
        <f ca="1">_xll.PALO.DATA("jedoxtest/EU_PM_CUBE02","#_Programme","Langbezeichnung",$B26)</f>
        <v>Euratom</v>
      </c>
      <c r="D26" s="229">
        <f ca="1">_xll.PALO.DATAC("jedoxtest/EU_PM_CUBE02","EUPM_Mittel2_Cube",Datenstand,"Alle Beteiligungen","Alle Koordinatoren","Alle Unternehmensgrößen","-2","Alle Organisationstypen",28,"Alle Expertevaluierungsstatus",$B26,"-2",D$4,"-2","Alle","-2","foerderung")</f>
        <v>0</v>
      </c>
      <c r="E26" s="229">
        <f ca="1">_xll.PALO.DATAC("jedoxtest/EU_PM_CUBE02","EUPM_Mittel2_Cube",Datenstand,"Alle Beteiligungen","Alle Koordinatoren","Alle Unternehmensgrößen","-2","Alle Organisationstypen",28,"Alle Expertevaluierungsstatus",$B26,"-2",E$4,"-2","Alle","-2","foerderung")</f>
        <v>0</v>
      </c>
      <c r="F26" s="229">
        <f ca="1">_xll.PALO.DATAC("jedoxtest/EU_PM_CUBE02","EUPM_Mittel2_Cube",Datenstand,"Alle Beteiligungen","Alle Koordinatoren","Alle Unternehmensgrößen","-2","Alle Organisationstypen",28,"Alle Expertevaluierungsstatus",$B26,"-2",F$4,"-2","Alle","-2","foerderung")</f>
        <v>0</v>
      </c>
      <c r="G26" s="229">
        <f ca="1">_xll.PALO.DATAC("jedoxtest/EU_PM_CUBE02","EUPM_Mittel2_Cube",Datenstand,"Alle Beteiligungen","Alle Koordinatoren","Alle Unternehmensgrößen","-2","Alle Organisationstypen",28,"Alle Expertevaluierungsstatus",$B26,"-2",G$4,"-2","Alle","-2","foerderung")</f>
        <v>0</v>
      </c>
      <c r="H26" s="229">
        <f ca="1">_xll.PALO.DATAC("jedoxtest/EU_PM_CUBE02","EUPM_Mittel2_Cube",Datenstand,"Alle Beteiligungen","Alle Koordinatoren","Alle Unternehmensgrößen","-2","Alle Organisationstypen",28,"Alle Expertevaluierungsstatus",$B26,"-2",H$4,"-2","Alle","-2","foerderung")</f>
        <v>0</v>
      </c>
      <c r="I26" s="229">
        <f ca="1">_xll.PALO.DATAC("jedoxtest/EU_PM_CUBE02","EUPM_Mittel2_Cube",Datenstand,"Alle Beteiligungen","Alle Koordinatoren","Alle Unternehmensgrößen","-2","Alle Organisationstypen",28,"Alle Expertevaluierungsstatus",$B26,"-2",I$4,"-2","Alle","-2","foerderung")</f>
        <v>0</v>
      </c>
      <c r="J26" s="229">
        <f ca="1">_xll.PALO.DATAC("jedoxtest/EU_PM_CUBE02","EUPM_Mittel2_Cube",Datenstand,"Alle Beteiligungen","Alle Koordinatoren","Alle Unternehmensgrößen","-2","Alle Organisationstypen",28,"Alle Expertevaluierungsstatus",$B26,"-2",J$4,"-2","Alle","-2","foerderung")</f>
        <v>0</v>
      </c>
      <c r="K26" s="229">
        <f ca="1">_xll.PALO.DATAC("jedoxtest/EU_PM_CUBE02","EUPM_Mittel2_Cube",Datenstand,"Alle Beteiligungen","Alle Koordinatoren","Alle Unternehmensgrößen","-2","Alle Organisationstypen",28,"Alle Expertevaluierungsstatus",$B26,"-2",K$4,"-2","Alle","-2","foerderung")</f>
        <v>0</v>
      </c>
      <c r="L26" s="229">
        <f ca="1">_xll.PALO.DATAC("jedoxtest/EU_PM_CUBE02","EUPM_Mittel2_Cube",Datenstand,"Alle Beteiligungen","Alle Koordinatoren","Alle Unternehmensgrößen","-2","Alle Organisationstypen",28,"Alle Expertevaluierungsstatus",$B26,"-2",L$4,"-2","Alle","-2","foerderung")</f>
        <v>0</v>
      </c>
      <c r="M26" s="229">
        <f ca="1">_xll.PALO.DATAC("jedoxtest/EU_PM_CUBE02","EUPM_Mittel2_Cube",Datenstand,"Alle Beteiligungen","Alle Koordinatoren","Alle Unternehmensgrößen","-2","Alle Organisationstypen",28,"Alle Expertevaluierungsstatus",$B26,"-2",M$4,"-2","Alle","-2","foerderung")</f>
        <v>0</v>
      </c>
    </row>
    <row r="27" spans="1:13" ht="15" customHeight="1">
      <c r="B27" s="223"/>
    </row>
    <row r="28" spans="1:13" ht="15" customHeight="1">
      <c r="C28" s="761" t="str">
        <f ca="1">"Quelle: EC "&amp;_xll.PALO.DATA("jedoxtest/EU_PM_CUBE02","#_Datenstand","reference_month",Datenstand)&amp;"/"&amp;_xll.PALO.DATA("jedoxtest/EU_PM_CUBE02","#_Datenstand","reference_year",Datenstand)&amp;"; Darstellung FFG"</f>
        <v>Quelle: EC 5/2026; Darstellung FFG</v>
      </c>
      <c r="D28" s="761"/>
      <c r="E28" s="761"/>
      <c r="F28" s="761"/>
      <c r="G28" s="761"/>
      <c r="H28" s="761"/>
      <c r="I28" s="761"/>
      <c r="J28" s="761"/>
      <c r="K28" s="761"/>
      <c r="L28" s="761"/>
      <c r="M28" s="761"/>
    </row>
    <row r="29" spans="1:13" ht="15" customHeight="1">
      <c r="C29" s="235"/>
      <c r="D29" s="235"/>
      <c r="E29" s="235"/>
      <c r="F29" s="235"/>
      <c r="G29" s="235"/>
      <c r="H29" s="235"/>
      <c r="I29" s="235"/>
      <c r="J29" s="235"/>
      <c r="K29" s="235"/>
      <c r="L29" s="235"/>
      <c r="M29" s="235"/>
    </row>
    <row r="30" spans="1:13" ht="15" customHeight="1"/>
    <row r="32" spans="1:13" ht="15" hidden="1" customHeight="1">
      <c r="A32" s="181" t="b">
        <f ca="1">_xll.PALO.HIDEROW(ISBLANK($A$1))</f>
        <v>1</v>
      </c>
      <c r="B32" s="181" t="s">
        <v>191</v>
      </c>
      <c r="C32" s="181" t="str">
        <f ca="1">_xll.PALO.ENAME("jedoxtest/EU_PM_CUBE02","Datenstand",3)</f>
        <v>117</v>
      </c>
    </row>
  </sheetData>
  <mergeCells count="1">
    <mergeCell ref="C28:M28"/>
  </mergeCells>
  <pageMargins left="0.70866141732283472" right="0.70866141732283472" top="0.74803149606299213" bottom="0.74803149606299213" header="0.31496062992125984" footer="0.31496062992125984"/>
  <pageSetup paperSize="9" scale="62"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47">
    <tabColor rgb="FF92D050"/>
    <pageSetUpPr fitToPage="1"/>
  </sheetPr>
  <dimension ref="A1:M32"/>
  <sheetViews>
    <sheetView zoomScaleNormal="100" workbookViewId="0">
      <selection activeCell="F3" sqref="F3"/>
    </sheetView>
  </sheetViews>
  <sheetFormatPr baseColWidth="10" defaultColWidth="11.42578125" defaultRowHeight="15"/>
  <cols>
    <col min="1" max="1" width="4.28515625" style="181" customWidth="1"/>
    <col min="2" max="2" width="14.42578125" style="181" hidden="1" customWidth="1"/>
    <col min="3" max="3" width="44.7109375" style="181" customWidth="1"/>
    <col min="4" max="4" width="16.7109375" style="181" customWidth="1"/>
    <col min="5" max="5" width="15.5703125" style="181" customWidth="1"/>
    <col min="6" max="6" width="18" style="181" customWidth="1"/>
    <col min="7" max="7" width="16.7109375" style="181" customWidth="1"/>
    <col min="8" max="13" width="15.140625" style="181" customWidth="1"/>
    <col min="14" max="14" width="3.28515625" style="181" customWidth="1"/>
    <col min="15" max="16384" width="11.42578125" style="181"/>
  </cols>
  <sheetData>
    <row r="1" spans="2:13" ht="15" customHeight="1">
      <c r="B1" s="220"/>
    </row>
    <row r="2" spans="2:13" ht="25.5" customHeight="1">
      <c r="C2" s="221" t="str">
        <f ca="1">"Österreichische Bundesländer in "&amp;_xll.PALO.DATA("jedoxtest/EU_PM_CUBE02","#_Datenstand","frameworkprog_long",Datenstand)&amp;" nach Programmen: Koordinationen"</f>
        <v>Österreichische Bundesländer in Horizon Europe nach Programmen: Koordinationen</v>
      </c>
      <c r="D2" s="208"/>
      <c r="E2" s="208"/>
      <c r="F2" s="208"/>
      <c r="G2" s="208"/>
      <c r="H2" s="222"/>
      <c r="I2" s="222"/>
      <c r="J2" s="222"/>
      <c r="K2" s="222"/>
      <c r="L2" s="222"/>
      <c r="M2" s="222"/>
    </row>
    <row r="3" spans="2:13" ht="25.5" customHeight="1">
      <c r="C3" s="246"/>
      <c r="D3" s="208"/>
      <c r="E3" s="208"/>
      <c r="F3" s="208"/>
      <c r="G3" s="208"/>
      <c r="H3" s="222"/>
      <c r="I3" s="222"/>
      <c r="J3" s="222"/>
      <c r="K3" s="222"/>
      <c r="L3" s="222"/>
      <c r="M3" s="222"/>
    </row>
    <row r="4" spans="2:13" hidden="1">
      <c r="D4" s="181">
        <v>3</v>
      </c>
      <c r="E4" s="181">
        <v>18</v>
      </c>
      <c r="F4" s="181">
        <v>7</v>
      </c>
      <c r="G4" s="181">
        <v>30</v>
      </c>
      <c r="H4" s="181">
        <v>36</v>
      </c>
      <c r="I4" s="181">
        <v>22</v>
      </c>
      <c r="J4" s="181">
        <v>40</v>
      </c>
      <c r="K4" s="181">
        <v>46</v>
      </c>
      <c r="L4" s="181">
        <v>15</v>
      </c>
      <c r="M4" s="181">
        <v>1</v>
      </c>
    </row>
    <row r="5" spans="2:13" ht="17.25" customHeight="1">
      <c r="D5" s="189" t="s">
        <v>118</v>
      </c>
      <c r="E5" s="189" t="s">
        <v>119</v>
      </c>
      <c r="F5" s="189" t="s">
        <v>120</v>
      </c>
      <c r="G5" s="189" t="s">
        <v>121</v>
      </c>
      <c r="H5" s="189" t="s">
        <v>122</v>
      </c>
      <c r="I5" s="189" t="s">
        <v>123</v>
      </c>
      <c r="J5" s="189" t="s">
        <v>124</v>
      </c>
      <c r="K5" s="189" t="s">
        <v>125</v>
      </c>
      <c r="L5" s="189" t="s">
        <v>126</v>
      </c>
      <c r="M5" s="189" t="s">
        <v>127</v>
      </c>
    </row>
    <row r="6" spans="2:13" ht="15" customHeight="1">
      <c r="B6" t="s">
        <v>138</v>
      </c>
      <c r="C6" s="359" t="str">
        <f ca="1">_xll.PALO.DATA("jedoxtest/EU_PM_CUBE02","#_Programme","Langbezeichnung",$B6)</f>
        <v>Horizon Europe</v>
      </c>
      <c r="D6" s="187">
        <f ca="1">_xll.PALO.DATAC("jedoxtest/EU_PM_CUBE02","EUPM_Mittel2_Cube",Datenstand,"Alle Beteiligungen","Alle Koordinatoren","Alle Unternehmensgrößen","-2","Alle Organisationstypen",28,"Alle Expertevaluierungsstatus",$B6,"-2",D$4,"-2","Alle","-2","anzahl_koordinatoren")</f>
        <v>2</v>
      </c>
      <c r="E6" s="187">
        <f ca="1">_xll.PALO.DATAC("jedoxtest/EU_PM_CUBE02","EUPM_Mittel2_Cube",Datenstand,"Alle Beteiligungen","Alle Koordinatoren","Alle Unternehmensgrößen","-2","Alle Organisationstypen",28,"Alle Expertevaluierungsstatus",$B6,"-2",E$4,"-2","Alle","-2","anzahl_koordinatoren")</f>
        <v>11</v>
      </c>
      <c r="F6" s="187">
        <f ca="1">_xll.PALO.DATAC("jedoxtest/EU_PM_CUBE02","EUPM_Mittel2_Cube",Datenstand,"Alle Beteiligungen","Alle Koordinatoren","Alle Unternehmensgrößen","-2","Alle Organisationstypen",28,"Alle Expertevaluierungsstatus",$B6,"-2",F$4,"-2","Alle","-2","anzahl_koordinatoren")</f>
        <v>93</v>
      </c>
      <c r="G6" s="187">
        <f ca="1">_xll.PALO.DATAC("jedoxtest/EU_PM_CUBE02","EUPM_Mittel2_Cube",Datenstand,"Alle Beteiligungen","Alle Koordinatoren","Alle Unternehmensgrößen","-2","Alle Organisationstypen",28,"Alle Expertevaluierungsstatus",$B6,"-2",G$4,"-2","Alle","-2","anzahl_koordinatoren")</f>
        <v>27</v>
      </c>
      <c r="H6" s="187">
        <f ca="1">_xll.PALO.DATAC("jedoxtest/EU_PM_CUBE02","EUPM_Mittel2_Cube",Datenstand,"Alle Beteiligungen","Alle Koordinatoren","Alle Unternehmensgrößen","-2","Alle Organisationstypen",28,"Alle Expertevaluierungsstatus",$B6,"-2",H$4,"-2","Alle","-2","anzahl_koordinatoren")</f>
        <v>9</v>
      </c>
      <c r="I6" s="187">
        <f ca="1">_xll.PALO.DATAC("jedoxtest/EU_PM_CUBE02","EUPM_Mittel2_Cube",Datenstand,"Alle Beteiligungen","Alle Koordinatoren","Alle Unternehmensgrößen","-2","Alle Organisationstypen",28,"Alle Expertevaluierungsstatus",$B6,"-2",I$4,"-2","Alle","-2","anzahl_koordinatoren")</f>
        <v>141</v>
      </c>
      <c r="J6" s="187">
        <f ca="1">_xll.PALO.DATAC("jedoxtest/EU_PM_CUBE02","EUPM_Mittel2_Cube",Datenstand,"Alle Beteiligungen","Alle Koordinatoren","Alle Unternehmensgrößen","-2","Alle Organisationstypen",28,"Alle Expertevaluierungsstatus",$B6,"-2",J$4,"-2","Alle","-2","anzahl_koordinatoren")</f>
        <v>34</v>
      </c>
      <c r="K6" s="187">
        <f ca="1">_xll.PALO.DATAC("jedoxtest/EU_PM_CUBE02","EUPM_Mittel2_Cube",Datenstand,"Alle Beteiligungen","Alle Koordinatoren","Alle Unternehmensgrößen","-2","Alle Organisationstypen",28,"Alle Expertevaluierungsstatus",$B6,"-2",K$4,"-2","Alle","-2","anzahl_koordinatoren")</f>
        <v>1</v>
      </c>
      <c r="L6" s="187">
        <f ca="1">_xll.PALO.DATAC("jedoxtest/EU_PM_CUBE02","EUPM_Mittel2_Cube",Datenstand,"Alle Beteiligungen","Alle Koordinatoren","Alle Unternehmensgrößen","-2","Alle Organisationstypen",28,"Alle Expertevaluierungsstatus",$B6,"-2",L$4,"-2","Alle","-2","anzahl_koordinatoren")</f>
        <v>456</v>
      </c>
      <c r="M6" s="187">
        <f ca="1">_xll.PALO.DATAC("jedoxtest/EU_PM_CUBE02","EUPM_Mittel2_Cube",Datenstand,"Alle Beteiligungen","Alle Koordinatoren","Alle Unternehmensgrößen","-2","Alle Organisationstypen",28,"Alle Expertevaluierungsstatus",$B6,"-2",M$4,"-2","Alle","-2","anzahl_koordinatoren")</f>
        <v>774</v>
      </c>
    </row>
    <row r="7" spans="2:13" ht="15" hidden="1" customHeight="1">
      <c r="B7" t="s">
        <v>139</v>
      </c>
      <c r="C7" s="368" t="str">
        <f ca="1">_xll.PALO.DATA("jedoxtest/EU_PM_CUBE02","#_Programme","Langbezeichnung",$B7)</f>
        <v>EC Treaty</v>
      </c>
      <c r="D7" s="226">
        <f ca="1">_xll.PALO.DATAC("jedoxtest/EU_PM_CUBE02","EUPM_Mittel2_Cube",Datenstand,"Alle Beteiligungen","Alle Koordinatoren","Alle Unternehmensgrößen","-2","Alle Organisationstypen",28,"Alle Expertevaluierungsstatus",$B7,"-2",D$4,"-2","Alle","-2","anzahl_koordinatoren")</f>
        <v>2</v>
      </c>
      <c r="E7" s="226">
        <f ca="1">_xll.PALO.DATAC("jedoxtest/EU_PM_CUBE02","EUPM_Mittel2_Cube",Datenstand,"Alle Beteiligungen","Alle Koordinatoren","Alle Unternehmensgrößen","-2","Alle Organisationstypen",28,"Alle Expertevaluierungsstatus",$B7,"-2",E$4,"-2","Alle","-2","anzahl_koordinatoren")</f>
        <v>11</v>
      </c>
      <c r="F7" s="226">
        <f ca="1">_xll.PALO.DATAC("jedoxtest/EU_PM_CUBE02","EUPM_Mittel2_Cube",Datenstand,"Alle Beteiligungen","Alle Koordinatoren","Alle Unternehmensgrößen","-2","Alle Organisationstypen",28,"Alle Expertevaluierungsstatus",$B7,"-2",F$4,"-2","Alle","-2","anzahl_koordinatoren")</f>
        <v>93</v>
      </c>
      <c r="G7" s="226">
        <f ca="1">_xll.PALO.DATAC("jedoxtest/EU_PM_CUBE02","EUPM_Mittel2_Cube",Datenstand,"Alle Beteiligungen","Alle Koordinatoren","Alle Unternehmensgrößen","-2","Alle Organisationstypen",28,"Alle Expertevaluierungsstatus",$B7,"-2",G$4,"-2","Alle","-2","anzahl_koordinatoren")</f>
        <v>27</v>
      </c>
      <c r="H7" s="226">
        <f ca="1">_xll.PALO.DATAC("jedoxtest/EU_PM_CUBE02","EUPM_Mittel2_Cube",Datenstand,"Alle Beteiligungen","Alle Koordinatoren","Alle Unternehmensgrößen","-2","Alle Organisationstypen",28,"Alle Expertevaluierungsstatus",$B7,"-2",H$4,"-2","Alle","-2","anzahl_koordinatoren")</f>
        <v>9</v>
      </c>
      <c r="I7" s="226">
        <f ca="1">_xll.PALO.DATAC("jedoxtest/EU_PM_CUBE02","EUPM_Mittel2_Cube",Datenstand,"Alle Beteiligungen","Alle Koordinatoren","Alle Unternehmensgrößen","-2","Alle Organisationstypen",28,"Alle Expertevaluierungsstatus",$B7,"-2",I$4,"-2","Alle","-2","anzahl_koordinatoren")</f>
        <v>141</v>
      </c>
      <c r="J7" s="226">
        <f ca="1">_xll.PALO.DATAC("jedoxtest/EU_PM_CUBE02","EUPM_Mittel2_Cube",Datenstand,"Alle Beteiligungen","Alle Koordinatoren","Alle Unternehmensgrößen","-2","Alle Organisationstypen",28,"Alle Expertevaluierungsstatus",$B7,"-2",J$4,"-2","Alle","-2","anzahl_koordinatoren")</f>
        <v>34</v>
      </c>
      <c r="K7" s="226">
        <f ca="1">_xll.PALO.DATAC("jedoxtest/EU_PM_CUBE02","EUPM_Mittel2_Cube",Datenstand,"Alle Beteiligungen","Alle Koordinatoren","Alle Unternehmensgrößen","-2","Alle Organisationstypen",28,"Alle Expertevaluierungsstatus",$B7,"-2",K$4,"-2","Alle","-2","anzahl_koordinatoren")</f>
        <v>1</v>
      </c>
      <c r="L7" s="226">
        <f ca="1">_xll.PALO.DATAC("jedoxtest/EU_PM_CUBE02","EUPM_Mittel2_Cube",Datenstand,"Alle Beteiligungen","Alle Koordinatoren","Alle Unternehmensgrößen","-2","Alle Organisationstypen",28,"Alle Expertevaluierungsstatus",$B7,"-2",L$4,"-2","Alle","-2","anzahl_koordinatoren")</f>
        <v>456</v>
      </c>
      <c r="M7" s="226">
        <f ca="1">_xll.PALO.DATAC("jedoxtest/EU_PM_CUBE02","EUPM_Mittel2_Cube",Datenstand,"Alle Beteiligungen","Alle Koordinatoren","Alle Unternehmensgrößen","-2","Alle Organisationstypen",28,"Alle Expertevaluierungsstatus",$B7,"-2",M$4,"-2","Alle","-2","anzahl_koordinatoren")</f>
        <v>774</v>
      </c>
    </row>
    <row r="8" spans="2:13" ht="15" customHeight="1">
      <c r="B8" t="s">
        <v>140</v>
      </c>
      <c r="C8" s="368" t="str">
        <f ca="1">_xll.PALO.DATA("jedoxtest/EU_PM_CUBE02","#_Programme","Langbezeichnung",$B8)</f>
        <v>Excellent Science</v>
      </c>
      <c r="D8" s="226">
        <f ca="1">_xll.PALO.DATAC("jedoxtest/EU_PM_CUBE02","EUPM_Mittel2_Cube",Datenstand,"Alle Beteiligungen","Alle Koordinatoren","Alle Unternehmensgrößen","-2","Alle Organisationstypen",28,"Alle Expertevaluierungsstatus",$B8,"-2",D$4,"-2","Alle","-2","anzahl_koordinatoren")</f>
        <v>0</v>
      </c>
      <c r="E8" s="226">
        <f ca="1">_xll.PALO.DATAC("jedoxtest/EU_PM_CUBE02","EUPM_Mittel2_Cube",Datenstand,"Alle Beteiligungen","Alle Koordinatoren","Alle Unternehmensgrößen","-2","Alle Organisationstypen",28,"Alle Expertevaluierungsstatus",$B8,"-2",E$4,"-2","Alle","-2","anzahl_koordinatoren")</f>
        <v>1</v>
      </c>
      <c r="F8" s="226">
        <f ca="1">_xll.PALO.DATAC("jedoxtest/EU_PM_CUBE02","EUPM_Mittel2_Cube",Datenstand,"Alle Beteiligungen","Alle Koordinatoren","Alle Unternehmensgrößen","-2","Alle Organisationstypen",28,"Alle Expertevaluierungsstatus",$B8,"-2",F$4,"-2","Alle","-2","anzahl_koordinatoren")</f>
        <v>64</v>
      </c>
      <c r="G8" s="226">
        <f ca="1">_xll.PALO.DATAC("jedoxtest/EU_PM_CUBE02","EUPM_Mittel2_Cube",Datenstand,"Alle Beteiligungen","Alle Koordinatoren","Alle Unternehmensgrößen","-2","Alle Organisationstypen",28,"Alle Expertevaluierungsstatus",$B8,"-2",G$4,"-2","Alle","-2","anzahl_koordinatoren")</f>
        <v>9</v>
      </c>
      <c r="H8" s="226">
        <f ca="1">_xll.PALO.DATAC("jedoxtest/EU_PM_CUBE02","EUPM_Mittel2_Cube",Datenstand,"Alle Beteiligungen","Alle Koordinatoren","Alle Unternehmensgrößen","-2","Alle Organisationstypen",28,"Alle Expertevaluierungsstatus",$B8,"-2",H$4,"-2","Alle","-2","anzahl_koordinatoren")</f>
        <v>7</v>
      </c>
      <c r="I8" s="226">
        <f ca="1">_xll.PALO.DATAC("jedoxtest/EU_PM_CUBE02","EUPM_Mittel2_Cube",Datenstand,"Alle Beteiligungen","Alle Koordinatoren","Alle Unternehmensgrößen","-2","Alle Organisationstypen",28,"Alle Expertevaluierungsstatus",$B8,"-2",I$4,"-2","Alle","-2","anzahl_koordinatoren")</f>
        <v>66</v>
      </c>
      <c r="J8" s="226">
        <f ca="1">_xll.PALO.DATAC("jedoxtest/EU_PM_CUBE02","EUPM_Mittel2_Cube",Datenstand,"Alle Beteiligungen","Alle Koordinatoren","Alle Unternehmensgrößen","-2","Alle Organisationstypen",28,"Alle Expertevaluierungsstatus",$B8,"-2",J$4,"-2","Alle","-2","anzahl_koordinatoren")</f>
        <v>26</v>
      </c>
      <c r="K8" s="226">
        <f ca="1">_xll.PALO.DATAC("jedoxtest/EU_PM_CUBE02","EUPM_Mittel2_Cube",Datenstand,"Alle Beteiligungen","Alle Koordinatoren","Alle Unternehmensgrößen","-2","Alle Organisationstypen",28,"Alle Expertevaluierungsstatus",$B8,"-2",K$4,"-2","Alle","-2","anzahl_koordinatoren")</f>
        <v>0</v>
      </c>
      <c r="L8" s="226">
        <f ca="1">_xll.PALO.DATAC("jedoxtest/EU_PM_CUBE02","EUPM_Mittel2_Cube",Datenstand,"Alle Beteiligungen","Alle Koordinatoren","Alle Unternehmensgrößen","-2","Alle Organisationstypen",28,"Alle Expertevaluierungsstatus",$B8,"-2",L$4,"-2","Alle","-2","anzahl_koordinatoren")</f>
        <v>336</v>
      </c>
      <c r="M8" s="226">
        <f ca="1">_xll.PALO.DATAC("jedoxtest/EU_PM_CUBE02","EUPM_Mittel2_Cube",Datenstand,"Alle Beteiligungen","Alle Koordinatoren","Alle Unternehmensgrößen","-2","Alle Organisationstypen",28,"Alle Expertevaluierungsstatus",$B8,"-2",M$4,"-2","Alle","-2","anzahl_koordinatoren")</f>
        <v>509</v>
      </c>
    </row>
    <row r="9" spans="2:13" ht="15" customHeight="1">
      <c r="B9" t="s">
        <v>141</v>
      </c>
      <c r="C9" s="474" t="str">
        <f ca="1">_xll.PALO.DATA("jedoxtest/EU_PM_CUBE02","#_Programme","Langbezeichnung",$B9)</f>
        <v>European Research Council (ERC)</v>
      </c>
      <c r="D9" s="226">
        <f ca="1">_xll.PALO.DATAC("jedoxtest/EU_PM_CUBE02","EUPM_Mittel2_Cube",Datenstand,"Alle Beteiligungen","Alle Koordinatoren","Alle Unternehmensgrößen","-2","Alle Organisationstypen",28,"Alle Expertevaluierungsstatus",$B9,"-2",D$4,"-2","Alle","-2","anzahl_koordinatoren")</f>
        <v>0</v>
      </c>
      <c r="E9" s="226">
        <f ca="1">_xll.PALO.DATAC("jedoxtest/EU_PM_CUBE02","EUPM_Mittel2_Cube",Datenstand,"Alle Beteiligungen","Alle Koordinatoren","Alle Unternehmensgrößen","-2","Alle Organisationstypen",28,"Alle Expertevaluierungsstatus",$B9,"-2",E$4,"-2","Alle","-2","anzahl_koordinatoren")</f>
        <v>0</v>
      </c>
      <c r="F9" s="226">
        <f ca="1">_xll.PALO.DATAC("jedoxtest/EU_PM_CUBE02","EUPM_Mittel2_Cube",Datenstand,"Alle Beteiligungen","Alle Koordinatoren","Alle Unternehmensgrößen","-2","Alle Organisationstypen",28,"Alle Expertevaluierungsstatus",$B9,"-2",F$4,"-2","Alle","-2","anzahl_koordinatoren")</f>
        <v>41</v>
      </c>
      <c r="G9" s="226">
        <f ca="1">_xll.PALO.DATAC("jedoxtest/EU_PM_CUBE02","EUPM_Mittel2_Cube",Datenstand,"Alle Beteiligungen","Alle Koordinatoren","Alle Unternehmensgrößen","-2","Alle Organisationstypen",28,"Alle Expertevaluierungsstatus",$B9,"-2",G$4,"-2","Alle","-2","anzahl_koordinatoren")</f>
        <v>6</v>
      </c>
      <c r="H9" s="226">
        <f ca="1">_xll.PALO.DATAC("jedoxtest/EU_PM_CUBE02","EUPM_Mittel2_Cube",Datenstand,"Alle Beteiligungen","Alle Koordinatoren","Alle Unternehmensgrößen","-2","Alle Organisationstypen",28,"Alle Expertevaluierungsstatus",$B9,"-2",H$4,"-2","Alle","-2","anzahl_koordinatoren")</f>
        <v>4</v>
      </c>
      <c r="I9" s="226">
        <f ca="1">_xll.PALO.DATAC("jedoxtest/EU_PM_CUBE02","EUPM_Mittel2_Cube",Datenstand,"Alle Beteiligungen","Alle Koordinatoren","Alle Unternehmensgrößen","-2","Alle Organisationstypen",28,"Alle Expertevaluierungsstatus",$B9,"-2",I$4,"-2","Alle","-2","anzahl_koordinatoren")</f>
        <v>28</v>
      </c>
      <c r="J9" s="226">
        <f ca="1">_xll.PALO.DATAC("jedoxtest/EU_PM_CUBE02","EUPM_Mittel2_Cube",Datenstand,"Alle Beteiligungen","Alle Koordinatoren","Alle Unternehmensgrößen","-2","Alle Organisationstypen",28,"Alle Expertevaluierungsstatus",$B9,"-2",J$4,"-2","Alle","-2","anzahl_koordinatoren")</f>
        <v>17</v>
      </c>
      <c r="K9" s="226">
        <f ca="1">_xll.PALO.DATAC("jedoxtest/EU_PM_CUBE02","EUPM_Mittel2_Cube",Datenstand,"Alle Beteiligungen","Alle Koordinatoren","Alle Unternehmensgrößen","-2","Alle Organisationstypen",28,"Alle Expertevaluierungsstatus",$B9,"-2",K$4,"-2","Alle","-2","anzahl_koordinatoren")</f>
        <v>0</v>
      </c>
      <c r="L9" s="226">
        <f ca="1">_xll.PALO.DATAC("jedoxtest/EU_PM_CUBE02","EUPM_Mittel2_Cube",Datenstand,"Alle Beteiligungen","Alle Koordinatoren","Alle Unternehmensgrößen","-2","Alle Organisationstypen",28,"Alle Expertevaluierungsstatus",$B9,"-2",L$4,"-2","Alle","-2","anzahl_koordinatoren")</f>
        <v>154</v>
      </c>
      <c r="M9" s="226">
        <f ca="1">_xll.PALO.DATAC("jedoxtest/EU_PM_CUBE02","EUPM_Mittel2_Cube",Datenstand,"Alle Beteiligungen","Alle Koordinatoren","Alle Unternehmensgrößen","-2","Alle Organisationstypen",28,"Alle Expertevaluierungsstatus",$B9,"-2",M$4,"-2","Alle","-2","anzahl_koordinatoren")</f>
        <v>250</v>
      </c>
    </row>
    <row r="10" spans="2:13" ht="15" customHeight="1">
      <c r="B10" t="s">
        <v>142</v>
      </c>
      <c r="C10" s="474" t="str">
        <f ca="1">_xll.PALO.DATA("jedoxtest/EU_PM_CUBE02","#_Programme","Langbezeichnung",$B10)</f>
        <v>Marie Skłodowska-Curie Actions (MSCA)</v>
      </c>
      <c r="D10" s="226">
        <f ca="1">_xll.PALO.DATAC("jedoxtest/EU_PM_CUBE02","EUPM_Mittel2_Cube",Datenstand,"Alle Beteiligungen","Alle Koordinatoren","Alle Unternehmensgrößen","-2","Alle Organisationstypen",28,"Alle Expertevaluierungsstatus",$B10,"-2",D$4,"-2","Alle","-2","anzahl_koordinatoren")</f>
        <v>0</v>
      </c>
      <c r="E10" s="226">
        <f ca="1">_xll.PALO.DATAC("jedoxtest/EU_PM_CUBE02","EUPM_Mittel2_Cube",Datenstand,"Alle Beteiligungen","Alle Koordinatoren","Alle Unternehmensgrößen","-2","Alle Organisationstypen",28,"Alle Expertevaluierungsstatus",$B10,"-2",E$4,"-2","Alle","-2","anzahl_koordinatoren")</f>
        <v>1</v>
      </c>
      <c r="F10" s="226">
        <f ca="1">_xll.PALO.DATAC("jedoxtest/EU_PM_CUBE02","EUPM_Mittel2_Cube",Datenstand,"Alle Beteiligungen","Alle Koordinatoren","Alle Unternehmensgrößen","-2","Alle Organisationstypen",28,"Alle Expertevaluierungsstatus",$B10,"-2",F$4,"-2","Alle","-2","anzahl_koordinatoren")</f>
        <v>23</v>
      </c>
      <c r="G10" s="226">
        <f ca="1">_xll.PALO.DATAC("jedoxtest/EU_PM_CUBE02","EUPM_Mittel2_Cube",Datenstand,"Alle Beteiligungen","Alle Koordinatoren","Alle Unternehmensgrößen","-2","Alle Organisationstypen",28,"Alle Expertevaluierungsstatus",$B10,"-2",G$4,"-2","Alle","-2","anzahl_koordinatoren")</f>
        <v>3</v>
      </c>
      <c r="H10" s="226">
        <f ca="1">_xll.PALO.DATAC("jedoxtest/EU_PM_CUBE02","EUPM_Mittel2_Cube",Datenstand,"Alle Beteiligungen","Alle Koordinatoren","Alle Unternehmensgrößen","-2","Alle Organisationstypen",28,"Alle Expertevaluierungsstatus",$B10,"-2",H$4,"-2","Alle","-2","anzahl_koordinatoren")</f>
        <v>3</v>
      </c>
      <c r="I10" s="226">
        <f ca="1">_xll.PALO.DATAC("jedoxtest/EU_PM_CUBE02","EUPM_Mittel2_Cube",Datenstand,"Alle Beteiligungen","Alle Koordinatoren","Alle Unternehmensgrößen","-2","Alle Organisationstypen",28,"Alle Expertevaluierungsstatus",$B10,"-2",I$4,"-2","Alle","-2","anzahl_koordinatoren")</f>
        <v>33</v>
      </c>
      <c r="J10" s="226">
        <f ca="1">_xll.PALO.DATAC("jedoxtest/EU_PM_CUBE02","EUPM_Mittel2_Cube",Datenstand,"Alle Beteiligungen","Alle Koordinatoren","Alle Unternehmensgrößen","-2","Alle Organisationstypen",28,"Alle Expertevaluierungsstatus",$B10,"-2",J$4,"-2","Alle","-2","anzahl_koordinatoren")</f>
        <v>9</v>
      </c>
      <c r="K10" s="226">
        <f ca="1">_xll.PALO.DATAC("jedoxtest/EU_PM_CUBE02","EUPM_Mittel2_Cube",Datenstand,"Alle Beteiligungen","Alle Koordinatoren","Alle Unternehmensgrößen","-2","Alle Organisationstypen",28,"Alle Expertevaluierungsstatus",$B10,"-2",K$4,"-2","Alle","-2","anzahl_koordinatoren")</f>
        <v>0</v>
      </c>
      <c r="L10" s="226">
        <f ca="1">_xll.PALO.DATAC("jedoxtest/EU_PM_CUBE02","EUPM_Mittel2_Cube",Datenstand,"Alle Beteiligungen","Alle Koordinatoren","Alle Unternehmensgrößen","-2","Alle Organisationstypen",28,"Alle Expertevaluierungsstatus",$B10,"-2",L$4,"-2","Alle","-2","anzahl_koordinatoren")</f>
        <v>181</v>
      </c>
      <c r="M10" s="226">
        <f ca="1">_xll.PALO.DATAC("jedoxtest/EU_PM_CUBE02","EUPM_Mittel2_Cube",Datenstand,"Alle Beteiligungen","Alle Koordinatoren","Alle Unternehmensgrößen","-2","Alle Organisationstypen",28,"Alle Expertevaluierungsstatus",$B10,"-2",M$4,"-2","Alle","-2","anzahl_koordinatoren")</f>
        <v>253</v>
      </c>
    </row>
    <row r="11" spans="2:13" ht="15" customHeight="1">
      <c r="B11" t="s">
        <v>143</v>
      </c>
      <c r="C11" s="474" t="str">
        <f ca="1">_xll.PALO.DATA("jedoxtest/EU_PM_CUBE02","#_Programme","Langbezeichnung",$B11)</f>
        <v>Research infrastructures</v>
      </c>
      <c r="D11" s="226">
        <f ca="1">_xll.PALO.DATAC("jedoxtest/EU_PM_CUBE02","EUPM_Mittel2_Cube",Datenstand,"Alle Beteiligungen","Alle Koordinatoren","Alle Unternehmensgrößen","-2","Alle Organisationstypen",28,"Alle Expertevaluierungsstatus",$B11,"-2",D$4,"-2","Alle","-2","anzahl_koordinatoren")</f>
        <v>0</v>
      </c>
      <c r="E11" s="226">
        <f ca="1">_xll.PALO.DATAC("jedoxtest/EU_PM_CUBE02","EUPM_Mittel2_Cube",Datenstand,"Alle Beteiligungen","Alle Koordinatoren","Alle Unternehmensgrößen","-2","Alle Organisationstypen",28,"Alle Expertevaluierungsstatus",$B11,"-2",E$4,"-2","Alle","-2","anzahl_koordinatoren")</f>
        <v>0</v>
      </c>
      <c r="F11" s="226">
        <f ca="1">_xll.PALO.DATAC("jedoxtest/EU_PM_CUBE02","EUPM_Mittel2_Cube",Datenstand,"Alle Beteiligungen","Alle Koordinatoren","Alle Unternehmensgrößen","-2","Alle Organisationstypen",28,"Alle Expertevaluierungsstatus",$B11,"-2",F$4,"-2","Alle","-2","anzahl_koordinatoren")</f>
        <v>0</v>
      </c>
      <c r="G11" s="226">
        <f ca="1">_xll.PALO.DATAC("jedoxtest/EU_PM_CUBE02","EUPM_Mittel2_Cube",Datenstand,"Alle Beteiligungen","Alle Koordinatoren","Alle Unternehmensgrößen","-2","Alle Organisationstypen",28,"Alle Expertevaluierungsstatus",$B11,"-2",G$4,"-2","Alle","-2","anzahl_koordinatoren")</f>
        <v>0</v>
      </c>
      <c r="H11" s="226">
        <f ca="1">_xll.PALO.DATAC("jedoxtest/EU_PM_CUBE02","EUPM_Mittel2_Cube",Datenstand,"Alle Beteiligungen","Alle Koordinatoren","Alle Unternehmensgrößen","-2","Alle Organisationstypen",28,"Alle Expertevaluierungsstatus",$B11,"-2",H$4,"-2","Alle","-2","anzahl_koordinatoren")</f>
        <v>0</v>
      </c>
      <c r="I11" s="226">
        <f ca="1">_xll.PALO.DATAC("jedoxtest/EU_PM_CUBE02","EUPM_Mittel2_Cube",Datenstand,"Alle Beteiligungen","Alle Koordinatoren","Alle Unternehmensgrößen","-2","Alle Organisationstypen",28,"Alle Expertevaluierungsstatus",$B11,"-2",I$4,"-2","Alle","-2","anzahl_koordinatoren")</f>
        <v>5</v>
      </c>
      <c r="J11" s="226">
        <f ca="1">_xll.PALO.DATAC("jedoxtest/EU_PM_CUBE02","EUPM_Mittel2_Cube",Datenstand,"Alle Beteiligungen","Alle Koordinatoren","Alle Unternehmensgrößen","-2","Alle Organisationstypen",28,"Alle Expertevaluierungsstatus",$B11,"-2",J$4,"-2","Alle","-2","anzahl_koordinatoren")</f>
        <v>0</v>
      </c>
      <c r="K11" s="226">
        <f ca="1">_xll.PALO.DATAC("jedoxtest/EU_PM_CUBE02","EUPM_Mittel2_Cube",Datenstand,"Alle Beteiligungen","Alle Koordinatoren","Alle Unternehmensgrößen","-2","Alle Organisationstypen",28,"Alle Expertevaluierungsstatus",$B11,"-2",K$4,"-2","Alle","-2","anzahl_koordinatoren")</f>
        <v>0</v>
      </c>
      <c r="L11" s="226">
        <f ca="1">_xll.PALO.DATAC("jedoxtest/EU_PM_CUBE02","EUPM_Mittel2_Cube",Datenstand,"Alle Beteiligungen","Alle Koordinatoren","Alle Unternehmensgrößen","-2","Alle Organisationstypen",28,"Alle Expertevaluierungsstatus",$B11,"-2",L$4,"-2","Alle","-2","anzahl_koordinatoren")</f>
        <v>1</v>
      </c>
      <c r="M11" s="226">
        <f ca="1">_xll.PALO.DATAC("jedoxtest/EU_PM_CUBE02","EUPM_Mittel2_Cube",Datenstand,"Alle Beteiligungen","Alle Koordinatoren","Alle Unternehmensgrößen","-2","Alle Organisationstypen",28,"Alle Expertevaluierungsstatus",$B11,"-2",M$4,"-2","Alle","-2","anzahl_koordinatoren")</f>
        <v>6</v>
      </c>
    </row>
    <row r="12" spans="2:13" ht="30.75" customHeight="1">
      <c r="B12" t="s">
        <v>144</v>
      </c>
      <c r="C12" s="368" t="str">
        <f ca="1">_xll.PALO.DATA("jedoxtest/EU_PM_CUBE02","#_Programme","Langbezeichnung",$B12)</f>
        <v>Global Challenges and European Industrial Competitiveness</v>
      </c>
      <c r="D12" s="226">
        <f ca="1">_xll.PALO.DATAC("jedoxtest/EU_PM_CUBE02","EUPM_Mittel2_Cube",Datenstand,"Alle Beteiligungen","Alle Koordinatoren","Alle Unternehmensgrößen","-2","Alle Organisationstypen",28,"Alle Expertevaluierungsstatus",$B12,"-2",D$4,"-2","Alle","-2","anzahl_koordinatoren")</f>
        <v>1</v>
      </c>
      <c r="E12" s="226">
        <f ca="1">_xll.PALO.DATAC("jedoxtest/EU_PM_CUBE02","EUPM_Mittel2_Cube",Datenstand,"Alle Beteiligungen","Alle Koordinatoren","Alle Unternehmensgrößen","-2","Alle Organisationstypen",28,"Alle Expertevaluierungsstatus",$B12,"-2",E$4,"-2","Alle","-2","anzahl_koordinatoren")</f>
        <v>10</v>
      </c>
      <c r="F12" s="226">
        <f ca="1">_xll.PALO.DATAC("jedoxtest/EU_PM_CUBE02","EUPM_Mittel2_Cube",Datenstand,"Alle Beteiligungen","Alle Koordinatoren","Alle Unternehmensgrößen","-2","Alle Organisationstypen",28,"Alle Expertevaluierungsstatus",$B12,"-2",F$4,"-2","Alle","-2","anzahl_koordinatoren")</f>
        <v>14</v>
      </c>
      <c r="G12" s="226">
        <f ca="1">_xll.PALO.DATAC("jedoxtest/EU_PM_CUBE02","EUPM_Mittel2_Cube",Datenstand,"Alle Beteiligungen","Alle Koordinatoren","Alle Unternehmensgrößen","-2","Alle Organisationstypen",28,"Alle Expertevaluierungsstatus",$B12,"-2",G$4,"-2","Alle","-2","anzahl_koordinatoren")</f>
        <v>13</v>
      </c>
      <c r="H12" s="226">
        <f ca="1">_xll.PALO.DATAC("jedoxtest/EU_PM_CUBE02","EUPM_Mittel2_Cube",Datenstand,"Alle Beteiligungen","Alle Koordinatoren","Alle Unternehmensgrößen","-2","Alle Organisationstypen",28,"Alle Expertevaluierungsstatus",$B12,"-2",H$4,"-2","Alle","-2","anzahl_koordinatoren")</f>
        <v>1</v>
      </c>
      <c r="I12" s="226">
        <f ca="1">_xll.PALO.DATAC("jedoxtest/EU_PM_CUBE02","EUPM_Mittel2_Cube",Datenstand,"Alle Beteiligungen","Alle Koordinatoren","Alle Unternehmensgrößen","-2","Alle Organisationstypen",28,"Alle Expertevaluierungsstatus",$B12,"-2",I$4,"-2","Alle","-2","anzahl_koordinatoren")</f>
        <v>55</v>
      </c>
      <c r="J12" s="226">
        <f ca="1">_xll.PALO.DATAC("jedoxtest/EU_PM_CUBE02","EUPM_Mittel2_Cube",Datenstand,"Alle Beteiligungen","Alle Koordinatoren","Alle Unternehmensgrößen","-2","Alle Organisationstypen",28,"Alle Expertevaluierungsstatus",$B12,"-2",J$4,"-2","Alle","-2","anzahl_koordinatoren")</f>
        <v>6</v>
      </c>
      <c r="K12" s="226">
        <f ca="1">_xll.PALO.DATAC("jedoxtest/EU_PM_CUBE02","EUPM_Mittel2_Cube",Datenstand,"Alle Beteiligungen","Alle Koordinatoren","Alle Unternehmensgrößen","-2","Alle Organisationstypen",28,"Alle Expertevaluierungsstatus",$B12,"-2",K$4,"-2","Alle","-2","anzahl_koordinatoren")</f>
        <v>1</v>
      </c>
      <c r="L12" s="226">
        <f ca="1">_xll.PALO.DATAC("jedoxtest/EU_PM_CUBE02","EUPM_Mittel2_Cube",Datenstand,"Alle Beteiligungen","Alle Koordinatoren","Alle Unternehmensgrößen","-2","Alle Organisationstypen",28,"Alle Expertevaluierungsstatus",$B12,"-2",L$4,"-2","Alle","-2","anzahl_koordinatoren")</f>
        <v>87</v>
      </c>
      <c r="M12" s="226">
        <f ca="1">_xll.PALO.DATAC("jedoxtest/EU_PM_CUBE02","EUPM_Mittel2_Cube",Datenstand,"Alle Beteiligungen","Alle Koordinatoren","Alle Unternehmensgrößen","-2","Alle Organisationstypen",28,"Alle Expertevaluierungsstatus",$B12,"-2",M$4,"-2","Alle","-2","anzahl_koordinatoren")</f>
        <v>188</v>
      </c>
    </row>
    <row r="13" spans="2:13" ht="15" customHeight="1">
      <c r="B13" t="s">
        <v>145</v>
      </c>
      <c r="C13" s="474" t="str">
        <f ca="1">_xll.PALO.DATA("jedoxtest/EU_PM_CUBE02","#_Programme","Langbezeichnung",$B13)</f>
        <v>Health</v>
      </c>
      <c r="D13" s="226">
        <f ca="1">_xll.PALO.DATAC("jedoxtest/EU_PM_CUBE02","EUPM_Mittel2_Cube",Datenstand,"Alle Beteiligungen","Alle Koordinatoren","Alle Unternehmensgrößen","-2","Alle Organisationstypen",28,"Alle Expertevaluierungsstatus",$B13,"-2",D$4,"-2","Alle","-2","anzahl_koordinatoren")</f>
        <v>0</v>
      </c>
      <c r="E13" s="226">
        <f ca="1">_xll.PALO.DATAC("jedoxtest/EU_PM_CUBE02","EUPM_Mittel2_Cube",Datenstand,"Alle Beteiligungen","Alle Koordinatoren","Alle Unternehmensgrößen","-2","Alle Organisationstypen",28,"Alle Expertevaluierungsstatus",$B13,"-2",E$4,"-2","Alle","-2","anzahl_koordinatoren")</f>
        <v>1</v>
      </c>
      <c r="F13" s="226">
        <f ca="1">_xll.PALO.DATAC("jedoxtest/EU_PM_CUBE02","EUPM_Mittel2_Cube",Datenstand,"Alle Beteiligungen","Alle Koordinatoren","Alle Unternehmensgrößen","-2","Alle Organisationstypen",28,"Alle Expertevaluierungsstatus",$B13,"-2",F$4,"-2","Alle","-2","anzahl_koordinatoren")</f>
        <v>0</v>
      </c>
      <c r="G13" s="226">
        <f ca="1">_xll.PALO.DATAC("jedoxtest/EU_PM_CUBE02","EUPM_Mittel2_Cube",Datenstand,"Alle Beteiligungen","Alle Koordinatoren","Alle Unternehmensgrößen","-2","Alle Organisationstypen",28,"Alle Expertevaluierungsstatus",$B13,"-2",G$4,"-2","Alle","-2","anzahl_koordinatoren")</f>
        <v>0</v>
      </c>
      <c r="H13" s="226">
        <f ca="1">_xll.PALO.DATAC("jedoxtest/EU_PM_CUBE02","EUPM_Mittel2_Cube",Datenstand,"Alle Beteiligungen","Alle Koordinatoren","Alle Unternehmensgrößen","-2","Alle Organisationstypen",28,"Alle Expertevaluierungsstatus",$B13,"-2",H$4,"-2","Alle","-2","anzahl_koordinatoren")</f>
        <v>0</v>
      </c>
      <c r="I13" s="226">
        <f ca="1">_xll.PALO.DATAC("jedoxtest/EU_PM_CUBE02","EUPM_Mittel2_Cube",Datenstand,"Alle Beteiligungen","Alle Koordinatoren","Alle Unternehmensgrößen","-2","Alle Organisationstypen",28,"Alle Expertevaluierungsstatus",$B13,"-2",I$4,"-2","Alle","-2","anzahl_koordinatoren")</f>
        <v>4</v>
      </c>
      <c r="J13" s="226">
        <f ca="1">_xll.PALO.DATAC("jedoxtest/EU_PM_CUBE02","EUPM_Mittel2_Cube",Datenstand,"Alle Beteiligungen","Alle Koordinatoren","Alle Unternehmensgrößen","-2","Alle Organisationstypen",28,"Alle Expertevaluierungsstatus",$B13,"-2",J$4,"-2","Alle","-2","anzahl_koordinatoren")</f>
        <v>1</v>
      </c>
      <c r="K13" s="226">
        <f ca="1">_xll.PALO.DATAC("jedoxtest/EU_PM_CUBE02","EUPM_Mittel2_Cube",Datenstand,"Alle Beteiligungen","Alle Koordinatoren","Alle Unternehmensgrößen","-2","Alle Organisationstypen",28,"Alle Expertevaluierungsstatus",$B13,"-2",K$4,"-2","Alle","-2","anzahl_koordinatoren")</f>
        <v>0</v>
      </c>
      <c r="L13" s="226">
        <f ca="1">_xll.PALO.DATAC("jedoxtest/EU_PM_CUBE02","EUPM_Mittel2_Cube",Datenstand,"Alle Beteiligungen","Alle Koordinatoren","Alle Unternehmensgrößen","-2","Alle Organisationstypen",28,"Alle Expertevaluierungsstatus",$B13,"-2",L$4,"-2","Alle","-2","anzahl_koordinatoren")</f>
        <v>11</v>
      </c>
      <c r="M13" s="226">
        <f ca="1">_xll.PALO.DATAC("jedoxtest/EU_PM_CUBE02","EUPM_Mittel2_Cube",Datenstand,"Alle Beteiligungen","Alle Koordinatoren","Alle Unternehmensgrößen","-2","Alle Organisationstypen",28,"Alle Expertevaluierungsstatus",$B13,"-2",M$4,"-2","Alle","-2","anzahl_koordinatoren")</f>
        <v>17</v>
      </c>
    </row>
    <row r="14" spans="2:13" ht="15" customHeight="1">
      <c r="B14" t="s">
        <v>146</v>
      </c>
      <c r="C14" s="474" t="str">
        <f ca="1">_xll.PALO.DATA("jedoxtest/EU_PM_CUBE02","#_Programme","Langbezeichnung",$B14)</f>
        <v>Culture, creativity and inclusive society</v>
      </c>
      <c r="D14" s="226">
        <f ca="1">_xll.PALO.DATAC("jedoxtest/EU_PM_CUBE02","EUPM_Mittel2_Cube",Datenstand,"Alle Beteiligungen","Alle Koordinatoren","Alle Unternehmensgrößen","-2","Alle Organisationstypen",28,"Alle Expertevaluierungsstatus",$B14,"-2",D$4,"-2","Alle","-2","anzahl_koordinatoren")</f>
        <v>0</v>
      </c>
      <c r="E14" s="226">
        <f ca="1">_xll.PALO.DATAC("jedoxtest/EU_PM_CUBE02","EUPM_Mittel2_Cube",Datenstand,"Alle Beteiligungen","Alle Koordinatoren","Alle Unternehmensgrößen","-2","Alle Organisationstypen",28,"Alle Expertevaluierungsstatus",$B14,"-2",E$4,"-2","Alle","-2","anzahl_koordinatoren")</f>
        <v>0</v>
      </c>
      <c r="F14" s="226">
        <f ca="1">_xll.PALO.DATAC("jedoxtest/EU_PM_CUBE02","EUPM_Mittel2_Cube",Datenstand,"Alle Beteiligungen","Alle Koordinatoren","Alle Unternehmensgrößen","-2","Alle Organisationstypen",28,"Alle Expertevaluierungsstatus",$B14,"-2",F$4,"-2","Alle","-2","anzahl_koordinatoren")</f>
        <v>3</v>
      </c>
      <c r="G14" s="226">
        <f ca="1">_xll.PALO.DATAC("jedoxtest/EU_PM_CUBE02","EUPM_Mittel2_Cube",Datenstand,"Alle Beteiligungen","Alle Koordinatoren","Alle Unternehmensgrößen","-2","Alle Organisationstypen",28,"Alle Expertevaluierungsstatus",$B14,"-2",G$4,"-2","Alle","-2","anzahl_koordinatoren")</f>
        <v>0</v>
      </c>
      <c r="H14" s="226">
        <f ca="1">_xll.PALO.DATAC("jedoxtest/EU_PM_CUBE02","EUPM_Mittel2_Cube",Datenstand,"Alle Beteiligungen","Alle Koordinatoren","Alle Unternehmensgrößen","-2","Alle Organisationstypen",28,"Alle Expertevaluierungsstatus",$B14,"-2",H$4,"-2","Alle","-2","anzahl_koordinatoren")</f>
        <v>1</v>
      </c>
      <c r="I14" s="226">
        <f ca="1">_xll.PALO.DATAC("jedoxtest/EU_PM_CUBE02","EUPM_Mittel2_Cube",Datenstand,"Alle Beteiligungen","Alle Koordinatoren","Alle Unternehmensgrößen","-2","Alle Organisationstypen",28,"Alle Expertevaluierungsstatus",$B14,"-2",I$4,"-2","Alle","-2","anzahl_koordinatoren")</f>
        <v>0</v>
      </c>
      <c r="J14" s="226">
        <f ca="1">_xll.PALO.DATAC("jedoxtest/EU_PM_CUBE02","EUPM_Mittel2_Cube",Datenstand,"Alle Beteiligungen","Alle Koordinatoren","Alle Unternehmensgrößen","-2","Alle Organisationstypen",28,"Alle Expertevaluierungsstatus",$B14,"-2",J$4,"-2","Alle","-2","anzahl_koordinatoren")</f>
        <v>2</v>
      </c>
      <c r="K14" s="226">
        <f ca="1">_xll.PALO.DATAC("jedoxtest/EU_PM_CUBE02","EUPM_Mittel2_Cube",Datenstand,"Alle Beteiligungen","Alle Koordinatoren","Alle Unternehmensgrößen","-2","Alle Organisationstypen",28,"Alle Expertevaluierungsstatus",$B14,"-2",K$4,"-2","Alle","-2","anzahl_koordinatoren")</f>
        <v>0</v>
      </c>
      <c r="L14" s="226">
        <f ca="1">_xll.PALO.DATAC("jedoxtest/EU_PM_CUBE02","EUPM_Mittel2_Cube",Datenstand,"Alle Beteiligungen","Alle Koordinatoren","Alle Unternehmensgrößen","-2","Alle Organisationstypen",28,"Alle Expertevaluierungsstatus",$B14,"-2",L$4,"-2","Alle","-2","anzahl_koordinatoren")</f>
        <v>16</v>
      </c>
      <c r="M14" s="226">
        <f ca="1">_xll.PALO.DATAC("jedoxtest/EU_PM_CUBE02","EUPM_Mittel2_Cube",Datenstand,"Alle Beteiligungen","Alle Koordinatoren","Alle Unternehmensgrößen","-2","Alle Organisationstypen",28,"Alle Expertevaluierungsstatus",$B14,"-2",M$4,"-2","Alle","-2","anzahl_koordinatoren")</f>
        <v>22</v>
      </c>
    </row>
    <row r="15" spans="2:13" ht="15" customHeight="1">
      <c r="B15" t="s">
        <v>147</v>
      </c>
      <c r="C15" s="474" t="str">
        <f ca="1">_xll.PALO.DATA("jedoxtest/EU_PM_CUBE02","#_Programme","Langbezeichnung",$B15)</f>
        <v>Civil Security for Society</v>
      </c>
      <c r="D15" s="226">
        <f ca="1">_xll.PALO.DATAC("jedoxtest/EU_PM_CUBE02","EUPM_Mittel2_Cube",Datenstand,"Alle Beteiligungen","Alle Koordinatoren","Alle Unternehmensgrößen","-2","Alle Organisationstypen",28,"Alle Expertevaluierungsstatus",$B15,"-2",D$4,"-2","Alle","-2","anzahl_koordinatoren")</f>
        <v>0</v>
      </c>
      <c r="E15" s="226">
        <f ca="1">_xll.PALO.DATAC("jedoxtest/EU_PM_CUBE02","EUPM_Mittel2_Cube",Datenstand,"Alle Beteiligungen","Alle Koordinatoren","Alle Unternehmensgrößen","-2","Alle Organisationstypen",28,"Alle Expertevaluierungsstatus",$B15,"-2",E$4,"-2","Alle","-2","anzahl_koordinatoren")</f>
        <v>2</v>
      </c>
      <c r="F15" s="226">
        <f ca="1">_xll.PALO.DATAC("jedoxtest/EU_PM_CUBE02","EUPM_Mittel2_Cube",Datenstand,"Alle Beteiligungen","Alle Koordinatoren","Alle Unternehmensgrößen","-2","Alle Organisationstypen",28,"Alle Expertevaluierungsstatus",$B15,"-2",F$4,"-2","Alle","-2","anzahl_koordinatoren")</f>
        <v>0</v>
      </c>
      <c r="G15" s="226">
        <f ca="1">_xll.PALO.DATAC("jedoxtest/EU_PM_CUBE02","EUPM_Mittel2_Cube",Datenstand,"Alle Beteiligungen","Alle Koordinatoren","Alle Unternehmensgrößen","-2","Alle Organisationstypen",28,"Alle Expertevaluierungsstatus",$B15,"-2",G$4,"-2","Alle","-2","anzahl_koordinatoren")</f>
        <v>1</v>
      </c>
      <c r="H15" s="226">
        <f ca="1">_xll.PALO.DATAC("jedoxtest/EU_PM_CUBE02","EUPM_Mittel2_Cube",Datenstand,"Alle Beteiligungen","Alle Koordinatoren","Alle Unternehmensgrößen","-2","Alle Organisationstypen",28,"Alle Expertevaluierungsstatus",$B15,"-2",H$4,"-2","Alle","-2","anzahl_koordinatoren")</f>
        <v>0</v>
      </c>
      <c r="I15" s="226">
        <f ca="1">_xll.PALO.DATAC("jedoxtest/EU_PM_CUBE02","EUPM_Mittel2_Cube",Datenstand,"Alle Beteiligungen","Alle Koordinatoren","Alle Unternehmensgrößen","-2","Alle Organisationstypen",28,"Alle Expertevaluierungsstatus",$B15,"-2",I$4,"-2","Alle","-2","anzahl_koordinatoren")</f>
        <v>0</v>
      </c>
      <c r="J15" s="226">
        <f ca="1">_xll.PALO.DATAC("jedoxtest/EU_PM_CUBE02","EUPM_Mittel2_Cube",Datenstand,"Alle Beteiligungen","Alle Koordinatoren","Alle Unternehmensgrößen","-2","Alle Organisationstypen",28,"Alle Expertevaluierungsstatus",$B15,"-2",J$4,"-2","Alle","-2","anzahl_koordinatoren")</f>
        <v>0</v>
      </c>
      <c r="K15" s="226">
        <f ca="1">_xll.PALO.DATAC("jedoxtest/EU_PM_CUBE02","EUPM_Mittel2_Cube",Datenstand,"Alle Beteiligungen","Alle Koordinatoren","Alle Unternehmensgrößen","-2","Alle Organisationstypen",28,"Alle Expertevaluierungsstatus",$B15,"-2",K$4,"-2","Alle","-2","anzahl_koordinatoren")</f>
        <v>0</v>
      </c>
      <c r="L15" s="226">
        <f ca="1">_xll.PALO.DATAC("jedoxtest/EU_PM_CUBE02","EUPM_Mittel2_Cube",Datenstand,"Alle Beteiligungen","Alle Koordinatoren","Alle Unternehmensgrößen","-2","Alle Organisationstypen",28,"Alle Expertevaluierungsstatus",$B15,"-2",L$4,"-2","Alle","-2","anzahl_koordinatoren")</f>
        <v>4</v>
      </c>
      <c r="M15" s="226">
        <f ca="1">_xll.PALO.DATAC("jedoxtest/EU_PM_CUBE02","EUPM_Mittel2_Cube",Datenstand,"Alle Beteiligungen","Alle Koordinatoren","Alle Unternehmensgrößen","-2","Alle Organisationstypen",28,"Alle Expertevaluierungsstatus",$B15,"-2",M$4,"-2","Alle","-2","anzahl_koordinatoren")</f>
        <v>7</v>
      </c>
    </row>
    <row r="16" spans="2:13" ht="15" customHeight="1">
      <c r="B16" t="s">
        <v>148</v>
      </c>
      <c r="C16" s="474" t="str">
        <f ca="1">_xll.PALO.DATA("jedoxtest/EU_PM_CUBE02","#_Programme","Langbezeichnung",$B16)</f>
        <v>Digital, Industry and Space</v>
      </c>
      <c r="D16" s="226">
        <f ca="1">_xll.PALO.DATAC("jedoxtest/EU_PM_CUBE02","EUPM_Mittel2_Cube",Datenstand,"Alle Beteiligungen","Alle Koordinatoren","Alle Unternehmensgrößen","-2","Alle Organisationstypen",28,"Alle Expertevaluierungsstatus",$B16,"-2",D$4,"-2","Alle","-2","anzahl_koordinatoren")</f>
        <v>0</v>
      </c>
      <c r="E16" s="226">
        <f ca="1">_xll.PALO.DATAC("jedoxtest/EU_PM_CUBE02","EUPM_Mittel2_Cube",Datenstand,"Alle Beteiligungen","Alle Koordinatoren","Alle Unternehmensgrößen","-2","Alle Organisationstypen",28,"Alle Expertevaluierungsstatus",$B16,"-2",E$4,"-2","Alle","-2","anzahl_koordinatoren")</f>
        <v>6</v>
      </c>
      <c r="F16" s="226">
        <f ca="1">_xll.PALO.DATAC("jedoxtest/EU_PM_CUBE02","EUPM_Mittel2_Cube",Datenstand,"Alle Beteiligungen","Alle Koordinatoren","Alle Unternehmensgrößen","-2","Alle Organisationstypen",28,"Alle Expertevaluierungsstatus",$B16,"-2",F$4,"-2","Alle","-2","anzahl_koordinatoren")</f>
        <v>2</v>
      </c>
      <c r="G16" s="226">
        <f ca="1">_xll.PALO.DATAC("jedoxtest/EU_PM_CUBE02","EUPM_Mittel2_Cube",Datenstand,"Alle Beteiligungen","Alle Koordinatoren","Alle Unternehmensgrößen","-2","Alle Organisationstypen",28,"Alle Expertevaluierungsstatus",$B16,"-2",G$4,"-2","Alle","-2","anzahl_koordinatoren")</f>
        <v>8</v>
      </c>
      <c r="H16" s="226">
        <f ca="1">_xll.PALO.DATAC("jedoxtest/EU_PM_CUBE02","EUPM_Mittel2_Cube",Datenstand,"Alle Beteiligungen","Alle Koordinatoren","Alle Unternehmensgrößen","-2","Alle Organisationstypen",28,"Alle Expertevaluierungsstatus",$B16,"-2",H$4,"-2","Alle","-2","anzahl_koordinatoren")</f>
        <v>0</v>
      </c>
      <c r="I16" s="226">
        <f ca="1">_xll.PALO.DATAC("jedoxtest/EU_PM_CUBE02","EUPM_Mittel2_Cube",Datenstand,"Alle Beteiligungen","Alle Koordinatoren","Alle Unternehmensgrößen","-2","Alle Organisationstypen",28,"Alle Expertevaluierungsstatus",$B16,"-2",I$4,"-2","Alle","-2","anzahl_koordinatoren")</f>
        <v>17</v>
      </c>
      <c r="J16" s="226">
        <f ca="1">_xll.PALO.DATAC("jedoxtest/EU_PM_CUBE02","EUPM_Mittel2_Cube",Datenstand,"Alle Beteiligungen","Alle Koordinatoren","Alle Unternehmensgrößen","-2","Alle Organisationstypen",28,"Alle Expertevaluierungsstatus",$B16,"-2",J$4,"-2","Alle","-2","anzahl_koordinatoren")</f>
        <v>2</v>
      </c>
      <c r="K16" s="226">
        <f ca="1">_xll.PALO.DATAC("jedoxtest/EU_PM_CUBE02","EUPM_Mittel2_Cube",Datenstand,"Alle Beteiligungen","Alle Koordinatoren","Alle Unternehmensgrößen","-2","Alle Organisationstypen",28,"Alle Expertevaluierungsstatus",$B16,"-2",K$4,"-2","Alle","-2","anzahl_koordinatoren")</f>
        <v>1</v>
      </c>
      <c r="L16" s="226">
        <f ca="1">_xll.PALO.DATAC("jedoxtest/EU_PM_CUBE02","EUPM_Mittel2_Cube",Datenstand,"Alle Beteiligungen","Alle Koordinatoren","Alle Unternehmensgrößen","-2","Alle Organisationstypen",28,"Alle Expertevaluierungsstatus",$B16,"-2",L$4,"-2","Alle","-2","anzahl_koordinatoren")</f>
        <v>11</v>
      </c>
      <c r="M16" s="226">
        <f ca="1">_xll.PALO.DATAC("jedoxtest/EU_PM_CUBE02","EUPM_Mittel2_Cube",Datenstand,"Alle Beteiligungen","Alle Koordinatoren","Alle Unternehmensgrößen","-2","Alle Organisationstypen",28,"Alle Expertevaluierungsstatus",$B16,"-2",M$4,"-2","Alle","-2","anzahl_koordinatoren")</f>
        <v>47</v>
      </c>
    </row>
    <row r="17" spans="1:13" ht="15" customHeight="1">
      <c r="B17" t="s">
        <v>149</v>
      </c>
      <c r="C17" s="474" t="str">
        <f ca="1">_xll.PALO.DATA("jedoxtest/EU_PM_CUBE02","#_Programme","Langbezeichnung",$B17)</f>
        <v>Climate, Energy and Mobility</v>
      </c>
      <c r="D17" s="226">
        <f ca="1">_xll.PALO.DATAC("jedoxtest/EU_PM_CUBE02","EUPM_Mittel2_Cube",Datenstand,"Alle Beteiligungen","Alle Koordinatoren","Alle Unternehmensgrößen","-2","Alle Organisationstypen",28,"Alle Expertevaluierungsstatus",$B17,"-2",D$4,"-2","Alle","-2","anzahl_koordinatoren")</f>
        <v>0</v>
      </c>
      <c r="E17" s="226">
        <f ca="1">_xll.PALO.DATAC("jedoxtest/EU_PM_CUBE02","EUPM_Mittel2_Cube",Datenstand,"Alle Beteiligungen","Alle Koordinatoren","Alle Unternehmensgrößen","-2","Alle Organisationstypen",28,"Alle Expertevaluierungsstatus",$B17,"-2",E$4,"-2","Alle","-2","anzahl_koordinatoren")</f>
        <v>1</v>
      </c>
      <c r="F17" s="226">
        <f ca="1">_xll.PALO.DATAC("jedoxtest/EU_PM_CUBE02","EUPM_Mittel2_Cube",Datenstand,"Alle Beteiligungen","Alle Koordinatoren","Alle Unternehmensgrößen","-2","Alle Organisationstypen",28,"Alle Expertevaluierungsstatus",$B17,"-2",F$4,"-2","Alle","-2","anzahl_koordinatoren")</f>
        <v>3</v>
      </c>
      <c r="G17" s="226">
        <f ca="1">_xll.PALO.DATAC("jedoxtest/EU_PM_CUBE02","EUPM_Mittel2_Cube",Datenstand,"Alle Beteiligungen","Alle Koordinatoren","Alle Unternehmensgrößen","-2","Alle Organisationstypen",28,"Alle Expertevaluierungsstatus",$B17,"-2",G$4,"-2","Alle","-2","anzahl_koordinatoren")</f>
        <v>4</v>
      </c>
      <c r="H17" s="226">
        <f ca="1">_xll.PALO.DATAC("jedoxtest/EU_PM_CUBE02","EUPM_Mittel2_Cube",Datenstand,"Alle Beteiligungen","Alle Koordinatoren","Alle Unternehmensgrößen","-2","Alle Organisationstypen",28,"Alle Expertevaluierungsstatus",$B17,"-2",H$4,"-2","Alle","-2","anzahl_koordinatoren")</f>
        <v>0</v>
      </c>
      <c r="I17" s="226">
        <f ca="1">_xll.PALO.DATAC("jedoxtest/EU_PM_CUBE02","EUPM_Mittel2_Cube",Datenstand,"Alle Beteiligungen","Alle Koordinatoren","Alle Unternehmensgrößen","-2","Alle Organisationstypen",28,"Alle Expertevaluierungsstatus",$B17,"-2",I$4,"-2","Alle","-2","anzahl_koordinatoren")</f>
        <v>30</v>
      </c>
      <c r="J17" s="226">
        <f ca="1">_xll.PALO.DATAC("jedoxtest/EU_PM_CUBE02","EUPM_Mittel2_Cube",Datenstand,"Alle Beteiligungen","Alle Koordinatoren","Alle Unternehmensgrößen","-2","Alle Organisationstypen",28,"Alle Expertevaluierungsstatus",$B17,"-2",J$4,"-2","Alle","-2","anzahl_koordinatoren")</f>
        <v>1</v>
      </c>
      <c r="K17" s="226">
        <f ca="1">_xll.PALO.DATAC("jedoxtest/EU_PM_CUBE02","EUPM_Mittel2_Cube",Datenstand,"Alle Beteiligungen","Alle Koordinatoren","Alle Unternehmensgrößen","-2","Alle Organisationstypen",28,"Alle Expertevaluierungsstatus",$B17,"-2",K$4,"-2","Alle","-2","anzahl_koordinatoren")</f>
        <v>0</v>
      </c>
      <c r="L17" s="226">
        <f ca="1">_xll.PALO.DATAC("jedoxtest/EU_PM_CUBE02","EUPM_Mittel2_Cube",Datenstand,"Alle Beteiligungen","Alle Koordinatoren","Alle Unternehmensgrößen","-2","Alle Organisationstypen",28,"Alle Expertevaluierungsstatus",$B17,"-2",L$4,"-2","Alle","-2","anzahl_koordinatoren")</f>
        <v>30</v>
      </c>
      <c r="M17" s="226">
        <f ca="1">_xll.PALO.DATAC("jedoxtest/EU_PM_CUBE02","EUPM_Mittel2_Cube",Datenstand,"Alle Beteiligungen","Alle Koordinatoren","Alle Unternehmensgrößen","-2","Alle Organisationstypen",28,"Alle Expertevaluierungsstatus",$B17,"-2",M$4,"-2","Alle","-2","anzahl_koordinatoren")</f>
        <v>69</v>
      </c>
    </row>
    <row r="18" spans="1:13" ht="30" customHeight="1">
      <c r="B18" t="s">
        <v>150</v>
      </c>
      <c r="C18" s="474" t="str">
        <f ca="1">_xll.PALO.DATA("jedoxtest/EU_PM_CUBE02","#_Programme","Langbezeichnung",$B18)</f>
        <v>Food, Bioeconomy Natural Resources, Agriculture and Environment</v>
      </c>
      <c r="D18" s="226">
        <f ca="1">_xll.PALO.DATAC("jedoxtest/EU_PM_CUBE02","EUPM_Mittel2_Cube",Datenstand,"Alle Beteiligungen","Alle Koordinatoren","Alle Unternehmensgrößen","-2","Alle Organisationstypen",28,"Alle Expertevaluierungsstatus",$B18,"-2",D$4,"-2","Alle","-2","anzahl_koordinatoren")</f>
        <v>1</v>
      </c>
      <c r="E18" s="226">
        <f ca="1">_xll.PALO.DATAC("jedoxtest/EU_PM_CUBE02","EUPM_Mittel2_Cube",Datenstand,"Alle Beteiligungen","Alle Koordinatoren","Alle Unternehmensgrößen","-2","Alle Organisationstypen",28,"Alle Expertevaluierungsstatus",$B18,"-2",E$4,"-2","Alle","-2","anzahl_koordinatoren")</f>
        <v>0</v>
      </c>
      <c r="F18" s="226">
        <f ca="1">_xll.PALO.DATAC("jedoxtest/EU_PM_CUBE02","EUPM_Mittel2_Cube",Datenstand,"Alle Beteiligungen","Alle Koordinatoren","Alle Unternehmensgrößen","-2","Alle Organisationstypen",28,"Alle Expertevaluierungsstatus",$B18,"-2",F$4,"-2","Alle","-2","anzahl_koordinatoren")</f>
        <v>6</v>
      </c>
      <c r="G18" s="226">
        <f ca="1">_xll.PALO.DATAC("jedoxtest/EU_PM_CUBE02","EUPM_Mittel2_Cube",Datenstand,"Alle Beteiligungen","Alle Koordinatoren","Alle Unternehmensgrößen","-2","Alle Organisationstypen",28,"Alle Expertevaluierungsstatus",$B18,"-2",G$4,"-2","Alle","-2","anzahl_koordinatoren")</f>
        <v>0</v>
      </c>
      <c r="H18" s="226">
        <f ca="1">_xll.PALO.DATAC("jedoxtest/EU_PM_CUBE02","EUPM_Mittel2_Cube",Datenstand,"Alle Beteiligungen","Alle Koordinatoren","Alle Unternehmensgrößen","-2","Alle Organisationstypen",28,"Alle Expertevaluierungsstatus",$B18,"-2",H$4,"-2","Alle","-2","anzahl_koordinatoren")</f>
        <v>0</v>
      </c>
      <c r="I18" s="226">
        <f ca="1">_xll.PALO.DATAC("jedoxtest/EU_PM_CUBE02","EUPM_Mittel2_Cube",Datenstand,"Alle Beteiligungen","Alle Koordinatoren","Alle Unternehmensgrößen","-2","Alle Organisationstypen",28,"Alle Expertevaluierungsstatus",$B18,"-2",I$4,"-2","Alle","-2","anzahl_koordinatoren")</f>
        <v>4</v>
      </c>
      <c r="J18" s="226">
        <f ca="1">_xll.PALO.DATAC("jedoxtest/EU_PM_CUBE02","EUPM_Mittel2_Cube",Datenstand,"Alle Beteiligungen","Alle Koordinatoren","Alle Unternehmensgrößen","-2","Alle Organisationstypen",28,"Alle Expertevaluierungsstatus",$B18,"-2",J$4,"-2","Alle","-2","anzahl_koordinatoren")</f>
        <v>0</v>
      </c>
      <c r="K18" s="226">
        <f ca="1">_xll.PALO.DATAC("jedoxtest/EU_PM_CUBE02","EUPM_Mittel2_Cube",Datenstand,"Alle Beteiligungen","Alle Koordinatoren","Alle Unternehmensgrößen","-2","Alle Organisationstypen",28,"Alle Expertevaluierungsstatus",$B18,"-2",K$4,"-2","Alle","-2","anzahl_koordinatoren")</f>
        <v>0</v>
      </c>
      <c r="L18" s="226">
        <f ca="1">_xll.PALO.DATAC("jedoxtest/EU_PM_CUBE02","EUPM_Mittel2_Cube",Datenstand,"Alle Beteiligungen","Alle Koordinatoren","Alle Unternehmensgrößen","-2","Alle Organisationstypen",28,"Alle Expertevaluierungsstatus",$B18,"-2",L$4,"-2","Alle","-2","anzahl_koordinatoren")</f>
        <v>15</v>
      </c>
      <c r="M18" s="226">
        <f ca="1">_xll.PALO.DATAC("jedoxtest/EU_PM_CUBE02","EUPM_Mittel2_Cube",Datenstand,"Alle Beteiligungen","Alle Koordinatoren","Alle Unternehmensgrößen","-2","Alle Organisationstypen",28,"Alle Expertevaluierungsstatus",$B18,"-2",M$4,"-2","Alle","-2","anzahl_koordinatoren")</f>
        <v>26</v>
      </c>
    </row>
    <row r="19" spans="1:13" ht="15" customHeight="1">
      <c r="B19" t="s">
        <v>151</v>
      </c>
      <c r="C19" s="368" t="str">
        <f ca="1">_xll.PALO.DATA("jedoxtest/EU_PM_CUBE02","#_Programme","Langbezeichnung",$B19)</f>
        <v>Innovative Europe</v>
      </c>
      <c r="D19" s="226">
        <f ca="1">_xll.PALO.DATAC("jedoxtest/EU_PM_CUBE02","EUPM_Mittel2_Cube",Datenstand,"Alle Beteiligungen","Alle Koordinatoren","Alle Unternehmensgrößen","-2","Alle Organisationstypen",28,"Alle Expertevaluierungsstatus",$B19,"-2",D$4,"-2","Alle","-2","anzahl_koordinatoren")</f>
        <v>1</v>
      </c>
      <c r="E19" s="226">
        <f ca="1">_xll.PALO.DATAC("jedoxtest/EU_PM_CUBE02","EUPM_Mittel2_Cube",Datenstand,"Alle Beteiligungen","Alle Koordinatoren","Alle Unternehmensgrößen","-2","Alle Organisationstypen",28,"Alle Expertevaluierungsstatus",$B19,"-2",E$4,"-2","Alle","-2","anzahl_koordinatoren")</f>
        <v>0</v>
      </c>
      <c r="F19" s="226">
        <f ca="1">_xll.PALO.DATAC("jedoxtest/EU_PM_CUBE02","EUPM_Mittel2_Cube",Datenstand,"Alle Beteiligungen","Alle Koordinatoren","Alle Unternehmensgrößen","-2","Alle Organisationstypen",28,"Alle Expertevaluierungsstatus",$B19,"-2",F$4,"-2","Alle","-2","anzahl_koordinatoren")</f>
        <v>13</v>
      </c>
      <c r="G19" s="226">
        <f ca="1">_xll.PALO.DATAC("jedoxtest/EU_PM_CUBE02","EUPM_Mittel2_Cube",Datenstand,"Alle Beteiligungen","Alle Koordinatoren","Alle Unternehmensgrößen","-2","Alle Organisationstypen",28,"Alle Expertevaluierungsstatus",$B19,"-2",G$4,"-2","Alle","-2","anzahl_koordinatoren")</f>
        <v>4</v>
      </c>
      <c r="H19" s="226">
        <f ca="1">_xll.PALO.DATAC("jedoxtest/EU_PM_CUBE02","EUPM_Mittel2_Cube",Datenstand,"Alle Beteiligungen","Alle Koordinatoren","Alle Unternehmensgrößen","-2","Alle Organisationstypen",28,"Alle Expertevaluierungsstatus",$B19,"-2",H$4,"-2","Alle","-2","anzahl_koordinatoren")</f>
        <v>1</v>
      </c>
      <c r="I19" s="226">
        <f ca="1">_xll.PALO.DATAC("jedoxtest/EU_PM_CUBE02","EUPM_Mittel2_Cube",Datenstand,"Alle Beteiligungen","Alle Koordinatoren","Alle Unternehmensgrößen","-2","Alle Organisationstypen",28,"Alle Expertevaluierungsstatus",$B19,"-2",I$4,"-2","Alle","-2","anzahl_koordinatoren")</f>
        <v>15</v>
      </c>
      <c r="J19" s="226">
        <f ca="1">_xll.PALO.DATAC("jedoxtest/EU_PM_CUBE02","EUPM_Mittel2_Cube",Datenstand,"Alle Beteiligungen","Alle Koordinatoren","Alle Unternehmensgrößen","-2","Alle Organisationstypen",28,"Alle Expertevaluierungsstatus",$B19,"-2",J$4,"-2","Alle","-2","anzahl_koordinatoren")</f>
        <v>2</v>
      </c>
      <c r="K19" s="226">
        <f ca="1">_xll.PALO.DATAC("jedoxtest/EU_PM_CUBE02","EUPM_Mittel2_Cube",Datenstand,"Alle Beteiligungen","Alle Koordinatoren","Alle Unternehmensgrößen","-2","Alle Organisationstypen",28,"Alle Expertevaluierungsstatus",$B19,"-2",K$4,"-2","Alle","-2","anzahl_koordinatoren")</f>
        <v>0</v>
      </c>
      <c r="L19" s="226">
        <f ca="1">_xll.PALO.DATAC("jedoxtest/EU_PM_CUBE02","EUPM_Mittel2_Cube",Datenstand,"Alle Beteiligungen","Alle Koordinatoren","Alle Unternehmensgrößen","-2","Alle Organisationstypen",28,"Alle Expertevaluierungsstatus",$B19,"-2",L$4,"-2","Alle","-2","anzahl_koordinatoren")</f>
        <v>23</v>
      </c>
      <c r="M19" s="226">
        <f ca="1">_xll.PALO.DATAC("jedoxtest/EU_PM_CUBE02","EUPM_Mittel2_Cube",Datenstand,"Alle Beteiligungen","Alle Koordinatoren","Alle Unternehmensgrößen","-2","Alle Organisationstypen",28,"Alle Expertevaluierungsstatus",$B19,"-2",M$4,"-2","Alle","-2","anzahl_koordinatoren")</f>
        <v>59</v>
      </c>
    </row>
    <row r="20" spans="1:13" ht="15" customHeight="1">
      <c r="B20" t="s">
        <v>152</v>
      </c>
      <c r="C20" s="474" t="str">
        <f ca="1">_xll.PALO.DATA("jedoxtest/EU_PM_CUBE02","#_Programme","Langbezeichnung",$B20)</f>
        <v>The European Innovation Council (EIC)</v>
      </c>
      <c r="D20" s="226">
        <f ca="1">_xll.PALO.DATAC("jedoxtest/EU_PM_CUBE02","EUPM_Mittel2_Cube",Datenstand,"Alle Beteiligungen","Alle Koordinatoren","Alle Unternehmensgrößen","-2","Alle Organisationstypen",28,"Alle Expertevaluierungsstatus",$B20,"-2",D$4,"-2","Alle","-2","anzahl_koordinatoren")</f>
        <v>0</v>
      </c>
      <c r="E20" s="226">
        <f ca="1">_xll.PALO.DATAC("jedoxtest/EU_PM_CUBE02","EUPM_Mittel2_Cube",Datenstand,"Alle Beteiligungen","Alle Koordinatoren","Alle Unternehmensgrößen","-2","Alle Organisationstypen",28,"Alle Expertevaluierungsstatus",$B20,"-2",E$4,"-2","Alle","-2","anzahl_koordinatoren")</f>
        <v>0</v>
      </c>
      <c r="F20" s="226">
        <f ca="1">_xll.PALO.DATAC("jedoxtest/EU_PM_CUBE02","EUPM_Mittel2_Cube",Datenstand,"Alle Beteiligungen","Alle Koordinatoren","Alle Unternehmensgrößen","-2","Alle Organisationstypen",28,"Alle Expertevaluierungsstatus",$B20,"-2",F$4,"-2","Alle","-2","anzahl_koordinatoren")</f>
        <v>12</v>
      </c>
      <c r="G20" s="226">
        <f ca="1">_xll.PALO.DATAC("jedoxtest/EU_PM_CUBE02","EUPM_Mittel2_Cube",Datenstand,"Alle Beteiligungen","Alle Koordinatoren","Alle Unternehmensgrößen","-2","Alle Organisationstypen",28,"Alle Expertevaluierungsstatus",$B20,"-2",G$4,"-2","Alle","-2","anzahl_koordinatoren")</f>
        <v>3</v>
      </c>
      <c r="H20" s="226">
        <f ca="1">_xll.PALO.DATAC("jedoxtest/EU_PM_CUBE02","EUPM_Mittel2_Cube",Datenstand,"Alle Beteiligungen","Alle Koordinatoren","Alle Unternehmensgrößen","-2","Alle Organisationstypen",28,"Alle Expertevaluierungsstatus",$B20,"-2",H$4,"-2","Alle","-2","anzahl_koordinatoren")</f>
        <v>1</v>
      </c>
      <c r="I20" s="226">
        <f ca="1">_xll.PALO.DATAC("jedoxtest/EU_PM_CUBE02","EUPM_Mittel2_Cube",Datenstand,"Alle Beteiligungen","Alle Koordinatoren","Alle Unternehmensgrößen","-2","Alle Organisationstypen",28,"Alle Expertevaluierungsstatus",$B20,"-2",I$4,"-2","Alle","-2","anzahl_koordinatoren")</f>
        <v>13</v>
      </c>
      <c r="J20" s="226">
        <f ca="1">_xll.PALO.DATAC("jedoxtest/EU_PM_CUBE02","EUPM_Mittel2_Cube",Datenstand,"Alle Beteiligungen","Alle Koordinatoren","Alle Unternehmensgrößen","-2","Alle Organisationstypen",28,"Alle Expertevaluierungsstatus",$B20,"-2",J$4,"-2","Alle","-2","anzahl_koordinatoren")</f>
        <v>2</v>
      </c>
      <c r="K20" s="226">
        <f ca="1">_xll.PALO.DATAC("jedoxtest/EU_PM_CUBE02","EUPM_Mittel2_Cube",Datenstand,"Alle Beteiligungen","Alle Koordinatoren","Alle Unternehmensgrößen","-2","Alle Organisationstypen",28,"Alle Expertevaluierungsstatus",$B20,"-2",K$4,"-2","Alle","-2","anzahl_koordinatoren")</f>
        <v>0</v>
      </c>
      <c r="L20" s="226">
        <f ca="1">_xll.PALO.DATAC("jedoxtest/EU_PM_CUBE02","EUPM_Mittel2_Cube",Datenstand,"Alle Beteiligungen","Alle Koordinatoren","Alle Unternehmensgrößen","-2","Alle Organisationstypen",28,"Alle Expertevaluierungsstatus",$B20,"-2",L$4,"-2","Alle","-2","anzahl_koordinatoren")</f>
        <v>22</v>
      </c>
      <c r="M20" s="226">
        <f ca="1">_xll.PALO.DATAC("jedoxtest/EU_PM_CUBE02","EUPM_Mittel2_Cube",Datenstand,"Alle Beteiligungen","Alle Koordinatoren","Alle Unternehmensgrößen","-2","Alle Organisationstypen",28,"Alle Expertevaluierungsstatus",$B20,"-2",M$4,"-2","Alle","-2","anzahl_koordinatoren")</f>
        <v>53</v>
      </c>
    </row>
    <row r="21" spans="1:13" ht="15" customHeight="1">
      <c r="B21" t="s">
        <v>153</v>
      </c>
      <c r="C21" s="474" t="str">
        <f ca="1">_xll.PALO.DATA("jedoxtest/EU_PM_CUBE02","#_Programme","Langbezeichnung",$B21)</f>
        <v>European innovation ecosystems</v>
      </c>
      <c r="D21" s="226">
        <f ca="1">_xll.PALO.DATAC("jedoxtest/EU_PM_CUBE02","EUPM_Mittel2_Cube",Datenstand,"Alle Beteiligungen","Alle Koordinatoren","Alle Unternehmensgrößen","-2","Alle Organisationstypen",28,"Alle Expertevaluierungsstatus",$B21,"-2",D$4,"-2","Alle","-2","anzahl_koordinatoren")</f>
        <v>1</v>
      </c>
      <c r="E21" s="226">
        <f ca="1">_xll.PALO.DATAC("jedoxtest/EU_PM_CUBE02","EUPM_Mittel2_Cube",Datenstand,"Alle Beteiligungen","Alle Koordinatoren","Alle Unternehmensgrößen","-2","Alle Organisationstypen",28,"Alle Expertevaluierungsstatus",$B21,"-2",E$4,"-2","Alle","-2","anzahl_koordinatoren")</f>
        <v>0</v>
      </c>
      <c r="F21" s="226">
        <f ca="1">_xll.PALO.DATAC("jedoxtest/EU_PM_CUBE02","EUPM_Mittel2_Cube",Datenstand,"Alle Beteiligungen","Alle Koordinatoren","Alle Unternehmensgrößen","-2","Alle Organisationstypen",28,"Alle Expertevaluierungsstatus",$B21,"-2",F$4,"-2","Alle","-2","anzahl_koordinatoren")</f>
        <v>1</v>
      </c>
      <c r="G21" s="226">
        <f ca="1">_xll.PALO.DATAC("jedoxtest/EU_PM_CUBE02","EUPM_Mittel2_Cube",Datenstand,"Alle Beteiligungen","Alle Koordinatoren","Alle Unternehmensgrößen","-2","Alle Organisationstypen",28,"Alle Expertevaluierungsstatus",$B21,"-2",G$4,"-2","Alle","-2","anzahl_koordinatoren")</f>
        <v>1</v>
      </c>
      <c r="H21" s="226">
        <f ca="1">_xll.PALO.DATAC("jedoxtest/EU_PM_CUBE02","EUPM_Mittel2_Cube",Datenstand,"Alle Beteiligungen","Alle Koordinatoren","Alle Unternehmensgrößen","-2","Alle Organisationstypen",28,"Alle Expertevaluierungsstatus",$B21,"-2",H$4,"-2","Alle","-2","anzahl_koordinatoren")</f>
        <v>0</v>
      </c>
      <c r="I21" s="226">
        <f ca="1">_xll.PALO.DATAC("jedoxtest/EU_PM_CUBE02","EUPM_Mittel2_Cube",Datenstand,"Alle Beteiligungen","Alle Koordinatoren","Alle Unternehmensgrößen","-2","Alle Organisationstypen",28,"Alle Expertevaluierungsstatus",$B21,"-2",I$4,"-2","Alle","-2","anzahl_koordinatoren")</f>
        <v>2</v>
      </c>
      <c r="J21" s="226">
        <f ca="1">_xll.PALO.DATAC("jedoxtest/EU_PM_CUBE02","EUPM_Mittel2_Cube",Datenstand,"Alle Beteiligungen","Alle Koordinatoren","Alle Unternehmensgrößen","-2","Alle Organisationstypen",28,"Alle Expertevaluierungsstatus",$B21,"-2",J$4,"-2","Alle","-2","anzahl_koordinatoren")</f>
        <v>0</v>
      </c>
      <c r="K21" s="226">
        <f ca="1">_xll.PALO.DATAC("jedoxtest/EU_PM_CUBE02","EUPM_Mittel2_Cube",Datenstand,"Alle Beteiligungen","Alle Koordinatoren","Alle Unternehmensgrößen","-2","Alle Organisationstypen",28,"Alle Expertevaluierungsstatus",$B21,"-2",K$4,"-2","Alle","-2","anzahl_koordinatoren")</f>
        <v>0</v>
      </c>
      <c r="L21" s="226">
        <f ca="1">_xll.PALO.DATAC("jedoxtest/EU_PM_CUBE02","EUPM_Mittel2_Cube",Datenstand,"Alle Beteiligungen","Alle Koordinatoren","Alle Unternehmensgrößen","-2","Alle Organisationstypen",28,"Alle Expertevaluierungsstatus",$B21,"-2",L$4,"-2","Alle","-2","anzahl_koordinatoren")</f>
        <v>1</v>
      </c>
      <c r="M21" s="226">
        <f ca="1">_xll.PALO.DATAC("jedoxtest/EU_PM_CUBE02","EUPM_Mittel2_Cube",Datenstand,"Alle Beteiligungen","Alle Koordinatoren","Alle Unternehmensgrößen","-2","Alle Organisationstypen",28,"Alle Expertevaluierungsstatus",$B21,"-2",M$4,"-2","Alle","-2","anzahl_koordinatoren")</f>
        <v>6</v>
      </c>
    </row>
    <row r="22" spans="1:13" ht="31.5" customHeight="1">
      <c r="B22" t="s">
        <v>154</v>
      </c>
      <c r="C22" s="474" t="str">
        <f ca="1">_xll.PALO.DATA("jedoxtest/EU_PM_CUBE02","#_Programme","Langbezeichnung",$B22)</f>
        <v>The European Institute of Innovation and Technology (EIT)</v>
      </c>
      <c r="D22" s="226">
        <f ca="1">_xll.PALO.DATAC("jedoxtest/EU_PM_CUBE02","EUPM_Mittel2_Cube",Datenstand,"Alle Beteiligungen","Alle Koordinatoren","Alle Unternehmensgrößen","-2","Alle Organisationstypen",28,"Alle Expertevaluierungsstatus",$B22,"-2",D$4,"-2","Alle","-2","anzahl_koordinatoren")</f>
        <v>0</v>
      </c>
      <c r="E22" s="226">
        <f ca="1">_xll.PALO.DATAC("jedoxtest/EU_PM_CUBE02","EUPM_Mittel2_Cube",Datenstand,"Alle Beteiligungen","Alle Koordinatoren","Alle Unternehmensgrößen","-2","Alle Organisationstypen",28,"Alle Expertevaluierungsstatus",$B22,"-2",E$4,"-2","Alle","-2","anzahl_koordinatoren")</f>
        <v>0</v>
      </c>
      <c r="F22" s="226">
        <f ca="1">_xll.PALO.DATAC("jedoxtest/EU_PM_CUBE02","EUPM_Mittel2_Cube",Datenstand,"Alle Beteiligungen","Alle Koordinatoren","Alle Unternehmensgrößen","-2","Alle Organisationstypen",28,"Alle Expertevaluierungsstatus",$B22,"-2",F$4,"-2","Alle","-2","anzahl_koordinatoren")</f>
        <v>0</v>
      </c>
      <c r="G22" s="226">
        <f ca="1">_xll.PALO.DATAC("jedoxtest/EU_PM_CUBE02","EUPM_Mittel2_Cube",Datenstand,"Alle Beteiligungen","Alle Koordinatoren","Alle Unternehmensgrößen","-2","Alle Organisationstypen",28,"Alle Expertevaluierungsstatus",$B22,"-2",G$4,"-2","Alle","-2","anzahl_koordinatoren")</f>
        <v>0</v>
      </c>
      <c r="H22" s="226">
        <f ca="1">_xll.PALO.DATAC("jedoxtest/EU_PM_CUBE02","EUPM_Mittel2_Cube",Datenstand,"Alle Beteiligungen","Alle Koordinatoren","Alle Unternehmensgrößen","-2","Alle Organisationstypen",28,"Alle Expertevaluierungsstatus",$B22,"-2",H$4,"-2","Alle","-2","anzahl_koordinatoren")</f>
        <v>0</v>
      </c>
      <c r="I22" s="226">
        <f ca="1">_xll.PALO.DATAC("jedoxtest/EU_PM_CUBE02","EUPM_Mittel2_Cube",Datenstand,"Alle Beteiligungen","Alle Koordinatoren","Alle Unternehmensgrößen","-2","Alle Organisationstypen",28,"Alle Expertevaluierungsstatus",$B22,"-2",I$4,"-2","Alle","-2","anzahl_koordinatoren")</f>
        <v>0</v>
      </c>
      <c r="J22" s="226">
        <f ca="1">_xll.PALO.DATAC("jedoxtest/EU_PM_CUBE02","EUPM_Mittel2_Cube",Datenstand,"Alle Beteiligungen","Alle Koordinatoren","Alle Unternehmensgrößen","-2","Alle Organisationstypen",28,"Alle Expertevaluierungsstatus",$B22,"-2",J$4,"-2","Alle","-2","anzahl_koordinatoren")</f>
        <v>0</v>
      </c>
      <c r="K22" s="226">
        <f ca="1">_xll.PALO.DATAC("jedoxtest/EU_PM_CUBE02","EUPM_Mittel2_Cube",Datenstand,"Alle Beteiligungen","Alle Koordinatoren","Alle Unternehmensgrößen","-2","Alle Organisationstypen",28,"Alle Expertevaluierungsstatus",$B22,"-2",K$4,"-2","Alle","-2","anzahl_koordinatoren")</f>
        <v>0</v>
      </c>
      <c r="L22" s="226">
        <f ca="1">_xll.PALO.DATAC("jedoxtest/EU_PM_CUBE02","EUPM_Mittel2_Cube",Datenstand,"Alle Beteiligungen","Alle Koordinatoren","Alle Unternehmensgrößen","-2","Alle Organisationstypen",28,"Alle Expertevaluierungsstatus",$B22,"-2",L$4,"-2","Alle","-2","anzahl_koordinatoren")</f>
        <v>0</v>
      </c>
      <c r="M22" s="226">
        <f ca="1">_xll.PALO.DATAC("jedoxtest/EU_PM_CUBE02","EUPM_Mittel2_Cube",Datenstand,"Alle Beteiligungen","Alle Koordinatoren","Alle Unternehmensgrößen","-2","Alle Organisationstypen",28,"Alle Expertevaluierungsstatus",$B22,"-2",M$4,"-2","Alle","-2","anzahl_koordinatoren")</f>
        <v>0</v>
      </c>
    </row>
    <row r="23" spans="1:13" ht="31.5" customHeight="1">
      <c r="B23" t="s">
        <v>155</v>
      </c>
      <c r="C23" s="368" t="str">
        <f ca="1">_xll.PALO.DATA("jedoxtest/EU_PM_CUBE02","#_Programme","Langbezeichnung",$B23)</f>
        <v>Widening Participation and Strengthening the European Research Area</v>
      </c>
      <c r="D23" s="226">
        <f ca="1">_xll.PALO.DATAC("jedoxtest/EU_PM_CUBE02","EUPM_Mittel2_Cube",Datenstand,"Alle Beteiligungen","Alle Koordinatoren","Alle Unternehmensgrößen","-2","Alle Organisationstypen",28,"Alle Expertevaluierungsstatus",$B23,"-2",D$4,"-2","Alle","-2","anzahl_koordinatoren")</f>
        <v>0</v>
      </c>
      <c r="E23" s="226">
        <f ca="1">_xll.PALO.DATAC("jedoxtest/EU_PM_CUBE02","EUPM_Mittel2_Cube",Datenstand,"Alle Beteiligungen","Alle Koordinatoren","Alle Unternehmensgrößen","-2","Alle Organisationstypen",28,"Alle Expertevaluierungsstatus",$B23,"-2",E$4,"-2","Alle","-2","anzahl_koordinatoren")</f>
        <v>0</v>
      </c>
      <c r="F23" s="226">
        <f ca="1">_xll.PALO.DATAC("jedoxtest/EU_PM_CUBE02","EUPM_Mittel2_Cube",Datenstand,"Alle Beteiligungen","Alle Koordinatoren","Alle Unternehmensgrößen","-2","Alle Organisationstypen",28,"Alle Expertevaluierungsstatus",$B23,"-2",F$4,"-2","Alle","-2","anzahl_koordinatoren")</f>
        <v>2</v>
      </c>
      <c r="G23" s="226">
        <f ca="1">_xll.PALO.DATAC("jedoxtest/EU_PM_CUBE02","EUPM_Mittel2_Cube",Datenstand,"Alle Beteiligungen","Alle Koordinatoren","Alle Unternehmensgrößen","-2","Alle Organisationstypen",28,"Alle Expertevaluierungsstatus",$B23,"-2",G$4,"-2","Alle","-2","anzahl_koordinatoren")</f>
        <v>1</v>
      </c>
      <c r="H23" s="226">
        <f ca="1">_xll.PALO.DATAC("jedoxtest/EU_PM_CUBE02","EUPM_Mittel2_Cube",Datenstand,"Alle Beteiligungen","Alle Koordinatoren","Alle Unternehmensgrößen","-2","Alle Organisationstypen",28,"Alle Expertevaluierungsstatus",$B23,"-2",H$4,"-2","Alle","-2","anzahl_koordinatoren")</f>
        <v>0</v>
      </c>
      <c r="I23" s="226">
        <f ca="1">_xll.PALO.DATAC("jedoxtest/EU_PM_CUBE02","EUPM_Mittel2_Cube",Datenstand,"Alle Beteiligungen","Alle Koordinatoren","Alle Unternehmensgrößen","-2","Alle Organisationstypen",28,"Alle Expertevaluierungsstatus",$B23,"-2",I$4,"-2","Alle","-2","anzahl_koordinatoren")</f>
        <v>5</v>
      </c>
      <c r="J23" s="226">
        <f ca="1">_xll.PALO.DATAC("jedoxtest/EU_PM_CUBE02","EUPM_Mittel2_Cube",Datenstand,"Alle Beteiligungen","Alle Koordinatoren","Alle Unternehmensgrößen","-2","Alle Organisationstypen",28,"Alle Expertevaluierungsstatus",$B23,"-2",J$4,"-2","Alle","-2","anzahl_koordinatoren")</f>
        <v>0</v>
      </c>
      <c r="K23" s="226">
        <f ca="1">_xll.PALO.DATAC("jedoxtest/EU_PM_CUBE02","EUPM_Mittel2_Cube",Datenstand,"Alle Beteiligungen","Alle Koordinatoren","Alle Unternehmensgrößen","-2","Alle Organisationstypen",28,"Alle Expertevaluierungsstatus",$B23,"-2",K$4,"-2","Alle","-2","anzahl_koordinatoren")</f>
        <v>0</v>
      </c>
      <c r="L23" s="226">
        <f ca="1">_xll.PALO.DATAC("jedoxtest/EU_PM_CUBE02","EUPM_Mittel2_Cube",Datenstand,"Alle Beteiligungen","Alle Koordinatoren","Alle Unternehmensgrößen","-2","Alle Organisationstypen",28,"Alle Expertevaluierungsstatus",$B23,"-2",L$4,"-2","Alle","-2","anzahl_koordinatoren")</f>
        <v>10</v>
      </c>
      <c r="M23" s="226">
        <f ca="1">_xll.PALO.DATAC("jedoxtest/EU_PM_CUBE02","EUPM_Mittel2_Cube",Datenstand,"Alle Beteiligungen","Alle Koordinatoren","Alle Unternehmensgrößen","-2","Alle Organisationstypen",28,"Alle Expertevaluierungsstatus",$B23,"-2",M$4,"-2","Alle","-2","anzahl_koordinatoren")</f>
        <v>18</v>
      </c>
    </row>
    <row r="24" spans="1:13" ht="31.5" customHeight="1">
      <c r="B24" t="s">
        <v>156</v>
      </c>
      <c r="C24" s="474" t="str">
        <f ca="1">_xll.PALO.DATA("jedoxtest/EU_PM_CUBE02","#_Programme","Langbezeichnung",$B24)</f>
        <v>Widening participation and spreading excellence</v>
      </c>
      <c r="D24" s="226">
        <f ca="1">_xll.PALO.DATAC("jedoxtest/EU_PM_CUBE02","EUPM_Mittel2_Cube",Datenstand,"Alle Beteiligungen","Alle Koordinatoren","Alle Unternehmensgrößen","-2","Alle Organisationstypen",28,"Alle Expertevaluierungsstatus",$B24,"-2",D$4,"-2","Alle","-2","anzahl_koordinatoren")</f>
        <v>0</v>
      </c>
      <c r="E24" s="226">
        <f ca="1">_xll.PALO.DATAC("jedoxtest/EU_PM_CUBE02","EUPM_Mittel2_Cube",Datenstand,"Alle Beteiligungen","Alle Koordinatoren","Alle Unternehmensgrößen","-2","Alle Organisationstypen",28,"Alle Expertevaluierungsstatus",$B24,"-2",E$4,"-2","Alle","-2","anzahl_koordinatoren")</f>
        <v>0</v>
      </c>
      <c r="F24" s="226">
        <f ca="1">_xll.PALO.DATAC("jedoxtest/EU_PM_CUBE02","EUPM_Mittel2_Cube",Datenstand,"Alle Beteiligungen","Alle Koordinatoren","Alle Unternehmensgrößen","-2","Alle Organisationstypen",28,"Alle Expertevaluierungsstatus",$B24,"-2",F$4,"-2","Alle","-2","anzahl_koordinatoren")</f>
        <v>2</v>
      </c>
      <c r="G24" s="226">
        <f ca="1">_xll.PALO.DATAC("jedoxtest/EU_PM_CUBE02","EUPM_Mittel2_Cube",Datenstand,"Alle Beteiligungen","Alle Koordinatoren","Alle Unternehmensgrößen","-2","Alle Organisationstypen",28,"Alle Expertevaluierungsstatus",$B24,"-2",G$4,"-2","Alle","-2","anzahl_koordinatoren")</f>
        <v>1</v>
      </c>
      <c r="H24" s="226">
        <f ca="1">_xll.PALO.DATAC("jedoxtest/EU_PM_CUBE02","EUPM_Mittel2_Cube",Datenstand,"Alle Beteiligungen","Alle Koordinatoren","Alle Unternehmensgrößen","-2","Alle Organisationstypen",28,"Alle Expertevaluierungsstatus",$B24,"-2",H$4,"-2","Alle","-2","anzahl_koordinatoren")</f>
        <v>0</v>
      </c>
      <c r="I24" s="226">
        <f ca="1">_xll.PALO.DATAC("jedoxtest/EU_PM_CUBE02","EUPM_Mittel2_Cube",Datenstand,"Alle Beteiligungen","Alle Koordinatoren","Alle Unternehmensgrößen","-2","Alle Organisationstypen",28,"Alle Expertevaluierungsstatus",$B24,"-2",I$4,"-2","Alle","-2","anzahl_koordinatoren")</f>
        <v>3</v>
      </c>
      <c r="J24" s="226">
        <f ca="1">_xll.PALO.DATAC("jedoxtest/EU_PM_CUBE02","EUPM_Mittel2_Cube",Datenstand,"Alle Beteiligungen","Alle Koordinatoren","Alle Unternehmensgrößen","-2","Alle Organisationstypen",28,"Alle Expertevaluierungsstatus",$B24,"-2",J$4,"-2","Alle","-2","anzahl_koordinatoren")</f>
        <v>0</v>
      </c>
      <c r="K24" s="226">
        <f ca="1">_xll.PALO.DATAC("jedoxtest/EU_PM_CUBE02","EUPM_Mittel2_Cube",Datenstand,"Alle Beteiligungen","Alle Koordinatoren","Alle Unternehmensgrößen","-2","Alle Organisationstypen",28,"Alle Expertevaluierungsstatus",$B24,"-2",K$4,"-2","Alle","-2","anzahl_koordinatoren")</f>
        <v>0</v>
      </c>
      <c r="L24" s="226">
        <f ca="1">_xll.PALO.DATAC("jedoxtest/EU_PM_CUBE02","EUPM_Mittel2_Cube",Datenstand,"Alle Beteiligungen","Alle Koordinatoren","Alle Unternehmensgrößen","-2","Alle Organisationstypen",28,"Alle Expertevaluierungsstatus",$B24,"-2",L$4,"-2","Alle","-2","anzahl_koordinatoren")</f>
        <v>7</v>
      </c>
      <c r="M24" s="226">
        <f ca="1">_xll.PALO.DATAC("jedoxtest/EU_PM_CUBE02","EUPM_Mittel2_Cube",Datenstand,"Alle Beteiligungen","Alle Koordinatoren","Alle Unternehmensgrößen","-2","Alle Organisationstypen",28,"Alle Expertevaluierungsstatus",$B24,"-2",M$4,"-2","Alle","-2","anzahl_koordinatoren")</f>
        <v>13</v>
      </c>
    </row>
    <row r="25" spans="1:13" ht="31.5" customHeight="1">
      <c r="B25" t="s">
        <v>157</v>
      </c>
      <c r="C25" s="474" t="str">
        <f ca="1">_xll.PALO.DATA("jedoxtest/EU_PM_CUBE02","#_Programme","Langbezeichnung",$B25)</f>
        <v>Reforming and enhancing the European R&amp;I System</v>
      </c>
      <c r="D25" s="226">
        <f ca="1">_xll.PALO.DATAC("jedoxtest/EU_PM_CUBE02","EUPM_Mittel2_Cube",Datenstand,"Alle Beteiligungen","Alle Koordinatoren","Alle Unternehmensgrößen","-2","Alle Organisationstypen",28,"Alle Expertevaluierungsstatus",$B25,"-2",D$4,"-2","Alle","-2","anzahl_koordinatoren")</f>
        <v>0</v>
      </c>
      <c r="E25" s="226">
        <f ca="1">_xll.PALO.DATAC("jedoxtest/EU_PM_CUBE02","EUPM_Mittel2_Cube",Datenstand,"Alle Beteiligungen","Alle Koordinatoren","Alle Unternehmensgrößen","-2","Alle Organisationstypen",28,"Alle Expertevaluierungsstatus",$B25,"-2",E$4,"-2","Alle","-2","anzahl_koordinatoren")</f>
        <v>0</v>
      </c>
      <c r="F25" s="226">
        <f ca="1">_xll.PALO.DATAC("jedoxtest/EU_PM_CUBE02","EUPM_Mittel2_Cube",Datenstand,"Alle Beteiligungen","Alle Koordinatoren","Alle Unternehmensgrößen","-2","Alle Organisationstypen",28,"Alle Expertevaluierungsstatus",$B25,"-2",F$4,"-2","Alle","-2","anzahl_koordinatoren")</f>
        <v>0</v>
      </c>
      <c r="G25" s="226">
        <f ca="1">_xll.PALO.DATAC("jedoxtest/EU_PM_CUBE02","EUPM_Mittel2_Cube",Datenstand,"Alle Beteiligungen","Alle Koordinatoren","Alle Unternehmensgrößen","-2","Alle Organisationstypen",28,"Alle Expertevaluierungsstatus",$B25,"-2",G$4,"-2","Alle","-2","anzahl_koordinatoren")</f>
        <v>0</v>
      </c>
      <c r="H25" s="226">
        <f ca="1">_xll.PALO.DATAC("jedoxtest/EU_PM_CUBE02","EUPM_Mittel2_Cube",Datenstand,"Alle Beteiligungen","Alle Koordinatoren","Alle Unternehmensgrößen","-2","Alle Organisationstypen",28,"Alle Expertevaluierungsstatus",$B25,"-2",H$4,"-2","Alle","-2","anzahl_koordinatoren")</f>
        <v>0</v>
      </c>
      <c r="I25" s="226">
        <f ca="1">_xll.PALO.DATAC("jedoxtest/EU_PM_CUBE02","EUPM_Mittel2_Cube",Datenstand,"Alle Beteiligungen","Alle Koordinatoren","Alle Unternehmensgrößen","-2","Alle Organisationstypen",28,"Alle Expertevaluierungsstatus",$B25,"-2",I$4,"-2","Alle","-2","anzahl_koordinatoren")</f>
        <v>2</v>
      </c>
      <c r="J25" s="226">
        <f ca="1">_xll.PALO.DATAC("jedoxtest/EU_PM_CUBE02","EUPM_Mittel2_Cube",Datenstand,"Alle Beteiligungen","Alle Koordinatoren","Alle Unternehmensgrößen","-2","Alle Organisationstypen",28,"Alle Expertevaluierungsstatus",$B25,"-2",J$4,"-2","Alle","-2","anzahl_koordinatoren")</f>
        <v>0</v>
      </c>
      <c r="K25" s="226">
        <f ca="1">_xll.PALO.DATAC("jedoxtest/EU_PM_CUBE02","EUPM_Mittel2_Cube",Datenstand,"Alle Beteiligungen","Alle Koordinatoren","Alle Unternehmensgrößen","-2","Alle Organisationstypen",28,"Alle Expertevaluierungsstatus",$B25,"-2",K$4,"-2","Alle","-2","anzahl_koordinatoren")</f>
        <v>0</v>
      </c>
      <c r="L25" s="226">
        <f ca="1">_xll.PALO.DATAC("jedoxtest/EU_PM_CUBE02","EUPM_Mittel2_Cube",Datenstand,"Alle Beteiligungen","Alle Koordinatoren","Alle Unternehmensgrößen","-2","Alle Organisationstypen",28,"Alle Expertevaluierungsstatus",$B25,"-2",L$4,"-2","Alle","-2","anzahl_koordinatoren")</f>
        <v>3</v>
      </c>
      <c r="M25" s="226">
        <f ca="1">_xll.PALO.DATAC("jedoxtest/EU_PM_CUBE02","EUPM_Mittel2_Cube",Datenstand,"Alle Beteiligungen","Alle Koordinatoren","Alle Unternehmensgrößen","-2","Alle Organisationstypen",28,"Alle Expertevaluierungsstatus",$B25,"-2",M$4,"-2","Alle","-2","anzahl_koordinatoren")</f>
        <v>5</v>
      </c>
    </row>
    <row r="26" spans="1:13" ht="15" hidden="1" customHeight="1">
      <c r="B26" t="s">
        <v>158</v>
      </c>
      <c r="C26" s="369" t="str">
        <f ca="1">_xll.PALO.DATA("jedoxtest/EU_PM_CUBE02","#_Programme","Langbezeichnung",$B26)</f>
        <v>Euratom</v>
      </c>
      <c r="D26" s="229">
        <f ca="1">_xll.PALO.DATAC("jedoxtest/EU_PM_CUBE02","EUPM_Mittel2_Cube",Datenstand,"Alle Beteiligungen","Alle Koordinatoren","Alle Unternehmensgrößen","-2","Alle Organisationstypen",28,"Alle Expertevaluierungsstatus",$B26,"-2",D$4,"-2","Alle","-2","anzahl_koordinatoren")</f>
        <v>0</v>
      </c>
      <c r="E26" s="229">
        <f ca="1">_xll.PALO.DATAC("jedoxtest/EU_PM_CUBE02","EUPM_Mittel2_Cube",Datenstand,"Alle Beteiligungen","Alle Koordinatoren","Alle Unternehmensgrößen","-2","Alle Organisationstypen",28,"Alle Expertevaluierungsstatus",$B26,"-2",E$4,"-2","Alle","-2","anzahl_koordinatoren")</f>
        <v>0</v>
      </c>
      <c r="F26" s="229">
        <f ca="1">_xll.PALO.DATAC("jedoxtest/EU_PM_CUBE02","EUPM_Mittel2_Cube",Datenstand,"Alle Beteiligungen","Alle Koordinatoren","Alle Unternehmensgrößen","-2","Alle Organisationstypen",28,"Alle Expertevaluierungsstatus",$B26,"-2",F$4,"-2","Alle","-2","anzahl_koordinatoren")</f>
        <v>0</v>
      </c>
      <c r="G26" s="229">
        <f ca="1">_xll.PALO.DATAC("jedoxtest/EU_PM_CUBE02","EUPM_Mittel2_Cube",Datenstand,"Alle Beteiligungen","Alle Koordinatoren","Alle Unternehmensgrößen","-2","Alle Organisationstypen",28,"Alle Expertevaluierungsstatus",$B26,"-2",G$4,"-2","Alle","-2","anzahl_koordinatoren")</f>
        <v>0</v>
      </c>
      <c r="H26" s="229">
        <f ca="1">_xll.PALO.DATAC("jedoxtest/EU_PM_CUBE02","EUPM_Mittel2_Cube",Datenstand,"Alle Beteiligungen","Alle Koordinatoren","Alle Unternehmensgrößen","-2","Alle Organisationstypen",28,"Alle Expertevaluierungsstatus",$B26,"-2",H$4,"-2","Alle","-2","anzahl_koordinatoren")</f>
        <v>0</v>
      </c>
      <c r="I26" s="229">
        <f ca="1">_xll.PALO.DATAC("jedoxtest/EU_PM_CUBE02","EUPM_Mittel2_Cube",Datenstand,"Alle Beteiligungen","Alle Koordinatoren","Alle Unternehmensgrößen","-2","Alle Organisationstypen",28,"Alle Expertevaluierungsstatus",$B26,"-2",I$4,"-2","Alle","-2","anzahl_koordinatoren")</f>
        <v>0</v>
      </c>
      <c r="J26" s="229">
        <f ca="1">_xll.PALO.DATAC("jedoxtest/EU_PM_CUBE02","EUPM_Mittel2_Cube",Datenstand,"Alle Beteiligungen","Alle Koordinatoren","Alle Unternehmensgrößen","-2","Alle Organisationstypen",28,"Alle Expertevaluierungsstatus",$B26,"-2",J$4,"-2","Alle","-2","anzahl_koordinatoren")</f>
        <v>0</v>
      </c>
      <c r="K26" s="229">
        <f ca="1">_xll.PALO.DATAC("jedoxtest/EU_PM_CUBE02","EUPM_Mittel2_Cube",Datenstand,"Alle Beteiligungen","Alle Koordinatoren","Alle Unternehmensgrößen","-2","Alle Organisationstypen",28,"Alle Expertevaluierungsstatus",$B26,"-2",K$4,"-2","Alle","-2","anzahl_koordinatoren")</f>
        <v>0</v>
      </c>
      <c r="L26" s="229">
        <f ca="1">_xll.PALO.DATAC("jedoxtest/EU_PM_CUBE02","EUPM_Mittel2_Cube",Datenstand,"Alle Beteiligungen","Alle Koordinatoren","Alle Unternehmensgrößen","-2","Alle Organisationstypen",28,"Alle Expertevaluierungsstatus",$B26,"-2",L$4,"-2","Alle","-2","anzahl_koordinatoren")</f>
        <v>0</v>
      </c>
      <c r="M26" s="229">
        <f ca="1">_xll.PALO.DATAC("jedoxtest/EU_PM_CUBE02","EUPM_Mittel2_Cube",Datenstand,"Alle Beteiligungen","Alle Koordinatoren","Alle Unternehmensgrößen","-2","Alle Organisationstypen",28,"Alle Expertevaluierungsstatus",$B26,"-2",M$4,"-2","Alle","-2","anzahl_koordinatoren")</f>
        <v>0</v>
      </c>
    </row>
    <row r="27" spans="1:13" ht="15" customHeight="1">
      <c r="B27" s="223"/>
    </row>
    <row r="28" spans="1:13" ht="15" customHeight="1">
      <c r="C28" s="761" t="str">
        <f ca="1">"Quelle: EC "&amp;_xll.PALO.DATA("jedoxtest/EU_PM_CUBE02","#_Datenstand","reference_month",Datenstand)&amp;"/"&amp;_xll.PALO.DATA("jedoxtest/EU_PM_CUBE02","#_Datenstand","reference_year",Datenstand)&amp;"; Darstellung FFG"</f>
        <v>Quelle: EC 5/2026; Darstellung FFG</v>
      </c>
      <c r="D28" s="761"/>
      <c r="E28" s="761"/>
      <c r="F28" s="761"/>
      <c r="G28" s="761"/>
      <c r="H28" s="761"/>
      <c r="I28" s="761"/>
      <c r="J28" s="761"/>
      <c r="K28" s="761"/>
      <c r="L28" s="761"/>
      <c r="M28" s="761"/>
    </row>
    <row r="29" spans="1:13" ht="15" customHeight="1">
      <c r="C29" s="235"/>
      <c r="D29" s="235"/>
      <c r="E29" s="235"/>
      <c r="F29" s="235"/>
      <c r="G29" s="235"/>
      <c r="H29" s="235"/>
      <c r="I29" s="235"/>
      <c r="J29" s="235"/>
      <c r="K29" s="235"/>
      <c r="L29" s="235"/>
      <c r="M29" s="235"/>
    </row>
    <row r="30" spans="1:13" ht="15" customHeight="1"/>
    <row r="32" spans="1:13" ht="15" hidden="1" customHeight="1">
      <c r="A32" s="181" t="b">
        <f ca="1">_xll.PALO.HIDEROW(ISBLANK($A$1))</f>
        <v>1</v>
      </c>
      <c r="B32" s="181" t="s">
        <v>191</v>
      </c>
      <c r="C32" s="181" t="str">
        <f ca="1">_xll.PALO.ENAME("jedoxtest/EU_PM_CUBE02","Datenstand",3)</f>
        <v>117</v>
      </c>
    </row>
  </sheetData>
  <mergeCells count="1">
    <mergeCell ref="C28:M28"/>
  </mergeCells>
  <pageMargins left="0.70866141732283472" right="0.70866141732283472" top="0.74803149606299213" bottom="0.74803149606299213" header="0.31496062992125984" footer="0.31496062992125984"/>
  <pageSetup paperSize="9" scale="64"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rgb="FF00B0F0"/>
    <pageSetUpPr fitToPage="1"/>
  </sheetPr>
  <dimension ref="A1:H26"/>
  <sheetViews>
    <sheetView zoomScaleNormal="100" workbookViewId="0">
      <selection activeCell="C2" sqref="C2"/>
    </sheetView>
  </sheetViews>
  <sheetFormatPr baseColWidth="10" defaultColWidth="11.42578125" defaultRowHeight="15"/>
  <cols>
    <col min="1" max="1" width="3" style="35" customWidth="1"/>
    <col min="2" max="2" width="8.28515625" style="35" customWidth="1"/>
    <col min="3" max="3" width="22.28515625" style="35" customWidth="1"/>
    <col min="4" max="4" width="21.28515625" style="35" customWidth="1"/>
    <col min="5" max="5" width="21.42578125" style="35" customWidth="1"/>
    <col min="6" max="6" width="21.28515625" style="35" customWidth="1"/>
    <col min="7" max="7" width="19.140625" style="35" customWidth="1"/>
    <col min="8" max="8" width="4.28515625" style="35" customWidth="1"/>
    <col min="9" max="16384" width="11.42578125" style="35"/>
  </cols>
  <sheetData>
    <row r="1" spans="1:8">
      <c r="A1" s="34"/>
      <c r="C1" s="34"/>
      <c r="D1" s="34"/>
      <c r="E1" s="34"/>
      <c r="F1" s="34"/>
    </row>
    <row r="2" spans="1:8">
      <c r="B2" s="35" t="str">
        <f ca="1">_xll.PALO.ENAME("jedoxtest/EU_PM_CUBE02","Datenstand",3)</f>
        <v>117</v>
      </c>
    </row>
    <row r="3" spans="1:8" ht="56.1" customHeight="1">
      <c r="C3" s="280" t="str">
        <f ca="1">"Cockpitbericht zum Datenstand "&amp;_xll.PALO.DATA("jedoxtest/EU_PM_CUBE02","#_Datenstand","reference_day",$B$2)&amp;"."&amp;_xll.PALO.DATA("jedoxtest/EU_PM_CUBE02","#_Datenstand","reference_month",$B$2)&amp;"."&amp;_xll.PALO.DATA("jedoxtest/EU_PM_CUBE02","#_Datenstand","reference_year",$B$2)</f>
        <v>Cockpitbericht zum Datenstand 19.5.2026</v>
      </c>
      <c r="D3" s="36"/>
      <c r="E3" s="36"/>
      <c r="F3" s="36"/>
      <c r="G3" s="36"/>
    </row>
    <row r="4" spans="1:8" ht="108" customHeight="1">
      <c r="C4" s="698" t="str">
        <f ca="1">"Der vorliegende Cockpitbericht versammelt die wesentlichen Kennzahlen zum bisherigen Geschehen im Europäischen Forschungsrahmenprogramm "&amp;_xll.PALO.DATA("jedoxtest/EU_PM_CUBE02","#_Datenstand","frameworkprog_long",$B$2)&amp;". Grundlage für die Auswertungen sind Angaben der Europäischen Kommission, die den zuständigen nationalen Verwaltungen zur Verfügung gestellt werden. Die Daten wurden durch die Österreichische Forschungsförderungsgesellschaft ausgewertet."</f>
        <v>Der vorliegende Cockpitbericht versammelt die wesentlichen Kennzahlen zum bisherigen Geschehen im Europäischen Forschungsrahmenprogramm Horizon Europe. Grundlage für die Auswertungen sind Angaben der Europäischen Kommission, die den zuständigen nationalen Verwaltungen zur Verfügung gestellt werden. Die Daten wurden durch die Österreichische Forschungsförderungsgesellschaft ausgewertet.</v>
      </c>
      <c r="D4" s="699"/>
      <c r="E4" s="699"/>
      <c r="F4" s="699"/>
      <c r="G4" s="699"/>
    </row>
    <row r="5" spans="1:8" ht="87" customHeight="1">
      <c r="C5" s="698" t="str">
        <f ca="1">"Die hier vorgestellten Daten beziehen sich auf Daten zu Verträgen in "&amp;_xll.PALO.DATA("jedoxtest/EU_PM_CUBE02","#_Datenstand","frameworkprog_long",$B$2)&amp;", die die Europäische Kommission am "&amp;_xll.PALO.DATA("jedoxtest/EU_PM_CUBE02","#_Datenstand","reference_day",$B$2)&amp;"."&amp;_xll.PALO.DATA("jedoxtest/EU_PM_CUBE02","#_Datenstand","reference_month",$B$2)&amp;"."&amp;_xll.PALO.DATA("jedoxtest/EU_PM_CUBE02","#_Datenstand","reference_year",$B$2)&amp;" verfügbar gemacht hat.
Gegebenenfalls sind im Bericht Daten zu Einreichungen oder Bewilligungen (mainlist) dargestellt; darauf wird explizit hingewiesen. Informationen zu Einreichungen der ersten Stufe in zweistufigen Verfahren sind nicht berücksichtigt."</f>
        <v>Die hier vorgestellten Daten beziehen sich auf Daten zu Verträgen in Horizon Europe, die die Europäische Kommission am 19.5.2026 verfügbar gemacht hat.
Gegebenenfalls sind im Bericht Daten zu Einreichungen oder Bewilligungen (mainlist) dargestellt; darauf wird explizit hingewiesen. Informationen zu Einreichungen der ersten Stufe in zweistufigen Verfahren sind nicht berücksichtigt.</v>
      </c>
      <c r="D5" s="699"/>
      <c r="E5" s="699"/>
      <c r="F5" s="699"/>
      <c r="G5" s="699"/>
    </row>
    <row r="6" spans="1:8" ht="61.5" customHeight="1">
      <c r="C6" s="168" t="str">
        <f ca="1">_xll.PALO.DATA("jedoxtest/EU_PM_CUBE02","#_Datenstand","frameworkprog_long",$B$2)&amp;": Performance Österreichs zum Datenstand "&amp;_xll.PALO.DATA("jedoxtest/EU_PM_CUBE02","#_Datenstand","reference_day",$B$2)&amp;"."&amp;_xll.PALO.DATA("jedoxtest/EU_PM_CUBE02","#_Datenstand","reference_month",$B$2)&amp;"."&amp;_xll.PALO.DATA("jedoxtest/EU_PM_CUBE02","#_Datenstand","reference_year",$B$2)</f>
        <v>Horizon Europe: Performance Österreichs zum Datenstand 19.5.2026</v>
      </c>
      <c r="D6" s="37"/>
      <c r="E6" s="37"/>
      <c r="F6" s="37"/>
      <c r="G6" s="37"/>
      <c r="H6" s="38"/>
    </row>
    <row r="7" spans="1:8" ht="15" customHeight="1"/>
    <row r="8" spans="1:8" s="249" customFormat="1" ht="35.25" customHeight="1">
      <c r="C8" s="339"/>
      <c r="D8" s="561" t="s">
        <v>19</v>
      </c>
      <c r="E8" s="329" t="s">
        <v>160</v>
      </c>
      <c r="F8" s="334" t="s">
        <v>161</v>
      </c>
      <c r="G8" s="40"/>
    </row>
    <row r="9" spans="1:8" s="249" customFormat="1" ht="20.100000000000001" customHeight="1">
      <c r="C9" s="248" t="s">
        <v>0</v>
      </c>
      <c r="D9" s="562">
        <f ca="1">_xll.PALO.DATAC("jedoxtest/EU_PM_CUBE02","EUPM_Mittel2_Cube",$B$2,1,"Alle Koordinatoren","Alle Unternehmensgrößen","-2","Alle Organisationstypen",28,"Alle Expertevaluierungsstatus","-2","-2",-2,"-2","Alle","-2","anzahl_koordinatoren")</f>
        <v>2517</v>
      </c>
      <c r="E9" s="330">
        <f ca="1">_xll.PALO.DATAC("jedoxtest/EU_PM_CUBE02","EUPM_Mittel2_Cube",$B$2,"Alle Beteiligungen","Alle Koordinatoren","Alle Unternehmensgrößen","-2","Alle Organisationstypen",28,"Alle Expertevaluierungsstatus","-2","-2","-2","-2","Alle","-2","anzahl_koordinatoren")</f>
        <v>23372</v>
      </c>
      <c r="F9" s="335">
        <f ca="1">D9/E9</f>
        <v>0.10769296594215301</v>
      </c>
      <c r="G9" s="40"/>
    </row>
    <row r="10" spans="1:8" s="249" customFormat="1" ht="20.100000000000001" customHeight="1">
      <c r="B10"/>
      <c r="C10" s="340" t="s">
        <v>1</v>
      </c>
      <c r="D10" s="563">
        <f ca="1">_xll.PALO.DATAC("jedoxtest/EU_PM_CUBE02","EUPM_Mittel2_Cube",$B$2,"Alle Beteiligungen","Alle Koordinatoren","Alle Unternehmensgrößen","-2","Alle Organisationstypen",28,"Alle Expertevaluierungsstatus","-2","-2",1,"-2","Alle","-2","anzahl_beteiligungen")</f>
        <v>3919</v>
      </c>
      <c r="E10" s="331">
        <f ca="1">_xll.PALO.DATAC("jedoxtest/EU_PM_CUBE02","EUPM_Mittel2_Cube",$B$2,"Alle Beteiligungen","Alle Koordinatoren","Alle Unternehmensgrößen","-2","Alle Organisationstypen",28,"Alle Expertevaluierungsstatus","-2","-2","-2","-2","Alle","-2","anzahl_beteiligungen")</f>
        <v>137401</v>
      </c>
      <c r="F10" s="335">
        <f t="shared" ref="F10:F12" ca="1" si="0">D10/E10</f>
        <v>2.8522354276897546E-2</v>
      </c>
      <c r="G10"/>
    </row>
    <row r="11" spans="1:8" ht="20.100000000000001" customHeight="1">
      <c r="B11"/>
      <c r="C11" s="340" t="s">
        <v>2</v>
      </c>
      <c r="D11" s="564">
        <f ca="1">_xll.PALO.DATAC("jedoxtest/EU_PM_CUBE02","EUPM_Mittel2_Cube",$B$2,"Alle Beteiligungen","Alle Koordinatoren","Alle Unternehmensgrößen","-2","Alle Organisationstypen",28,"Alle Expertevaluierungsstatus","-2","-2",1,"-2","Alle","-2","foerderung")/1000000</f>
        <v>1856.2015674500101</v>
      </c>
      <c r="E11" s="332">
        <f ca="1">_xll.PALO.DATAC("jedoxtest/EU_PM_CUBE02","EUPM_Mittel2_Cube",$B$2,"Alle Beteiligungen","Alle Koordinatoren","Alle Unternehmensgrößen","-2","Alle Organisationstypen",28,"Alle Expertevaluierungsstatus","-2","-2","-2","-2","Alle","-2","foerderung")/1000000</f>
        <v>58295.985379557402</v>
      </c>
      <c r="F11" s="335">
        <f t="shared" ca="1" si="0"/>
        <v>3.1840984509731309E-2</v>
      </c>
      <c r="G11"/>
    </row>
    <row r="12" spans="1:8" s="314" customFormat="1" ht="20.100000000000001" customHeight="1">
      <c r="B12"/>
      <c r="C12" s="341" t="s">
        <v>3</v>
      </c>
      <c r="D12" s="565">
        <f ca="1">_xll.PALO.DATAC("jedoxtest/EU_PM_CUBE02","EUPM_Mittel2_Cube",$B$2,"Alle Beteiligungen","Alle Koordinatoren","Alle Unternehmensgrößen","-2","Alle Organisationstypen",28,"Alle Expertevaluierungsstatus","-2","-2",1,"-2","Alle","-2","anzahl_koordinatoren")</f>
        <v>774</v>
      </c>
      <c r="E12" s="333">
        <f ca="1">_xll.PALO.DATAC("jedoxtest/EU_PM_CUBE02","EUPM_Mittel2_Cube",$B$2,"Alle Beteiligungen","Alle Koordinatoren","Alle Unternehmensgrößen","-2","Alle Organisationstypen",28,"Alle Expertevaluierungsstatus","-2","-2","-2","-2","Alle","-2","anzahl_koordinatoren")</f>
        <v>23372</v>
      </c>
      <c r="F12" s="335">
        <f t="shared" ca="1" si="0"/>
        <v>3.3116549717610813E-2</v>
      </c>
      <c r="G12"/>
    </row>
    <row r="13" spans="1:8" ht="18" customHeight="1">
      <c r="B13"/>
      <c r="C13" s="328"/>
      <c r="D13" s="328"/>
      <c r="E13" s="328"/>
      <c r="F13" s="328"/>
      <c r="G13"/>
    </row>
    <row r="14" spans="1:8" ht="18" hidden="1" customHeight="1">
      <c r="B14"/>
      <c r="C14"/>
      <c r="D14"/>
      <c r="E14"/>
      <c r="F14"/>
      <c r="G14"/>
    </row>
    <row r="15" spans="1:8" ht="18" hidden="1" customHeight="1">
      <c r="B15"/>
      <c r="C15"/>
      <c r="D15"/>
      <c r="E15"/>
      <c r="F15"/>
      <c r="G15"/>
    </row>
    <row r="16" spans="1:8" ht="18" hidden="1" customHeight="1">
      <c r="B16"/>
      <c r="C16"/>
      <c r="D16"/>
      <c r="E16"/>
      <c r="F16"/>
      <c r="G16"/>
    </row>
    <row r="17" spans="2:7" ht="18" hidden="1" customHeight="1">
      <c r="B17"/>
      <c r="C17"/>
      <c r="D17"/>
      <c r="E17"/>
      <c r="F17"/>
      <c r="G17"/>
    </row>
    <row r="18" spans="2:7" ht="18" hidden="1" customHeight="1">
      <c r="B18"/>
      <c r="C18"/>
      <c r="D18"/>
      <c r="E18"/>
      <c r="F18"/>
      <c r="G18"/>
    </row>
    <row r="19" spans="2:7" ht="15" customHeight="1">
      <c r="C19" s="47"/>
      <c r="D19" s="47"/>
      <c r="E19" s="47"/>
      <c r="F19" s="47"/>
      <c r="G19" s="47"/>
    </row>
    <row r="20" spans="2:7" ht="15" customHeight="1">
      <c r="C20" s="47"/>
      <c r="D20" s="47"/>
      <c r="E20" s="47"/>
      <c r="F20" s="701" t="str">
        <f ca="1">"Quelle: EC "&amp;_xll.PALO.DATA("jedoxtest/EU_PM_CUBE02","#_Datenstand","reference_month",$B$2)&amp;"/"&amp;_xll.PALO.DATA("jedoxtest/EU_PM_CUBE02","#_Datenstand","reference_year",$B$2)&amp;"; Darstellung FFG"</f>
        <v>Quelle: EC 5/2026; Darstellung FFG</v>
      </c>
      <c r="G20" s="701"/>
    </row>
    <row r="21" spans="2:7" ht="15" customHeight="1">
      <c r="C21" s="47"/>
      <c r="D21" s="48"/>
      <c r="E21" s="47"/>
      <c r="F21"/>
      <c r="G21"/>
    </row>
    <row r="22" spans="2:7" ht="39.75" customHeight="1">
      <c r="C22" s="47"/>
      <c r="D22" s="48"/>
      <c r="E22" s="47"/>
      <c r="F22" s="49"/>
      <c r="G22" s="50"/>
    </row>
    <row r="23" spans="2:7" ht="52.5" customHeight="1">
      <c r="C23" s="700" t="s">
        <v>5</v>
      </c>
      <c r="D23" s="700"/>
      <c r="E23" s="700"/>
      <c r="F23" s="700"/>
      <c r="G23" s="700"/>
    </row>
    <row r="24" spans="2:7" ht="14.25" customHeight="1">
      <c r="C24" s="700" t="s">
        <v>6</v>
      </c>
      <c r="D24" s="700"/>
      <c r="E24" s="700"/>
      <c r="F24" s="700"/>
      <c r="G24" s="700"/>
    </row>
    <row r="25" spans="2:7" ht="37.5" customHeight="1">
      <c r="C25" s="700" t="s">
        <v>7</v>
      </c>
      <c r="D25" s="700"/>
      <c r="E25" s="700"/>
      <c r="F25" s="700"/>
      <c r="G25" s="700"/>
    </row>
    <row r="26" spans="2:7" ht="15" customHeight="1">
      <c r="C26" s="41"/>
      <c r="D26" s="41"/>
      <c r="E26" s="41"/>
      <c r="F26" s="41"/>
      <c r="G26" s="41"/>
    </row>
  </sheetData>
  <mergeCells count="6">
    <mergeCell ref="C5:G5"/>
    <mergeCell ref="C4:G4"/>
    <mergeCell ref="C23:G23"/>
    <mergeCell ref="C24:G24"/>
    <mergeCell ref="C25:G25"/>
    <mergeCell ref="F20:G20"/>
  </mergeCells>
  <pageMargins left="0.70866141732283472" right="0.70866141732283472" top="0.74803149606299213" bottom="0.74803149606299213" header="0.31496062992125984" footer="0.31496062992125984"/>
  <pageSetup paperSize="9" scale="82" orientation="portrait" r:id="rId1"/>
  <headerFooter>
    <oddHeader>&amp;R&amp;G</oddHeader>
    <oddFooter>&amp;L&amp;"Calibri Light,Standard"&amp;7&amp;KA6A6A6Österreichische Forschungsförderungsgesellschaft mbH
Sensengasse 1, A-1090 Wien&amp;C&amp;"Calibri Light,Standard"&amp;7&amp;KA6A6A6EU-PM
&amp;D&amp;R&amp;"Calibri Light,Standard"&amp;7&amp;KA6A6A6Seite &amp;P von &amp;N</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8">
    <tabColor rgb="FF92D050"/>
    <pageSetUpPr fitToPage="1"/>
  </sheetPr>
  <dimension ref="A1:N41"/>
  <sheetViews>
    <sheetView topLeftCell="A5" zoomScaleNormal="100" workbookViewId="0">
      <selection activeCell="L13" sqref="L13"/>
    </sheetView>
  </sheetViews>
  <sheetFormatPr baseColWidth="10" defaultColWidth="11.42578125" defaultRowHeight="15"/>
  <cols>
    <col min="1" max="1" width="3" style="181" customWidth="1"/>
    <col min="2" max="2" width="7.85546875" style="181" bestFit="1" customWidth="1"/>
    <col min="3" max="3" width="22.140625" style="181" customWidth="1"/>
    <col min="4" max="4" width="12" style="181" hidden="1" customWidth="1"/>
    <col min="5" max="5" width="17.5703125" style="181" customWidth="1"/>
    <col min="6" max="7" width="15.85546875" style="181" customWidth="1"/>
    <col min="8" max="8" width="16.140625" style="181" customWidth="1"/>
    <col min="9" max="9" width="18.5703125" style="181" customWidth="1"/>
    <col min="10" max="10" width="17.7109375" style="181" customWidth="1"/>
    <col min="11" max="11" width="11.28515625" style="181" hidden="1" customWidth="1"/>
    <col min="12" max="12" width="20.42578125" style="181" customWidth="1"/>
    <col min="13" max="13" width="4.140625" style="181" customWidth="1"/>
    <col min="14" max="16384" width="11.42578125" style="181"/>
  </cols>
  <sheetData>
    <row r="1" spans="2:14" ht="15" customHeight="1">
      <c r="B1" s="352"/>
      <c r="C1" s="305" t="s">
        <v>355</v>
      </c>
      <c r="D1" s="181" t="b">
        <f ca="1">_xll.PALO.HIDECOLUMN(ISBLANK($A$1))</f>
        <v>1</v>
      </c>
      <c r="K1" s="181" t="b">
        <f ca="1">_xll.PALO.HIDECOLUMN(ISBLANK($A$1))</f>
        <v>1</v>
      </c>
    </row>
    <row r="2" spans="2:14" ht="27" customHeight="1">
      <c r="C2" s="209" t="str">
        <f ca="1">_xll.PALO.DATA("jedoxtest/EU_PM_CUBE02","#_Datenstand","frameworkprog_long",Datenstand)&amp;": Eckdaten für die EU-Mitgliedstaaten"</f>
        <v>Horizon Europe: Eckdaten für die EU-Mitgliedstaaten</v>
      </c>
      <c r="D2" s="210"/>
      <c r="E2" s="210"/>
      <c r="F2" s="210"/>
      <c r="G2" s="210"/>
      <c r="H2" s="210"/>
      <c r="I2" s="210"/>
      <c r="J2" s="210"/>
      <c r="K2" s="210"/>
      <c r="L2"/>
    </row>
    <row r="3" spans="2:14" ht="9.75" customHeight="1">
      <c r="C3" s="208"/>
      <c r="D3" s="208"/>
    </row>
    <row r="4" spans="2:14" ht="34.5" customHeight="1">
      <c r="C4" s="762" t="str">
        <f ca="1">"Diese Tabelle zeigt die Kennzahlen für "&amp;_xll.PALO.DATA("jedoxtest/EU_PM_CUBE02","#_Datenstand","frameworkprog_long",Datenstand)&amp;"; die Anteile beziehen sich auf EU-27. Die Tabelle ist nach der Zahl der Beteiligungen eines Landes absteigend sortiert."</f>
        <v>Diese Tabelle zeigt die Kennzahlen für Horizon Europe; die Anteile beziehen sich auf EU-27. Die Tabelle ist nach der Zahl der Beteiligungen eines Landes absteigend sortiert.</v>
      </c>
      <c r="D4" s="763"/>
      <c r="E4" s="763"/>
      <c r="F4" s="763"/>
      <c r="G4" s="763"/>
      <c r="H4" s="763"/>
      <c r="I4" s="763"/>
      <c r="J4" s="763"/>
      <c r="K4" s="763"/>
      <c r="L4" s="763"/>
    </row>
    <row r="5" spans="2:14" ht="9" customHeight="1"/>
    <row r="6" spans="2:14" ht="45" customHeight="1">
      <c r="B6" s="181" t="s">
        <v>354</v>
      </c>
      <c r="C6" s="128" t="s">
        <v>348</v>
      </c>
      <c r="E6" s="184" t="str">
        <f>UPPER(" Beteiligungen")</f>
        <v xml:space="preserve"> BETEILIGUNGEN</v>
      </c>
      <c r="F6" s="184" t="str">
        <f>UPPER("Anteil an Beteiligungen 
(EU-27)")</f>
        <v>ANTEIL AN BETEILIGUNGEN 
(EU-27)</v>
      </c>
      <c r="G6" s="184" t="str">
        <f>("FÖRDERUNG 
(Mio. €)")</f>
        <v>FÖRDERUNG 
(Mio. €)</v>
      </c>
      <c r="H6" s="184" t="str">
        <f>UPPER("Anteil an Förderung 
(EU-27)")</f>
        <v>ANTEIL AN FÖRDERUNG 
(EU-27)</v>
      </c>
      <c r="I6" s="184" t="str">
        <f>UPPER("Koordinationen")</f>
        <v>KOORDINATIONEN</v>
      </c>
      <c r="J6" s="184" t="str">
        <f>UPPER("Anteil an Koordinationen (EU-27)")</f>
        <v>ANTEIL AN KOORDINATIONEN (EU-27)</v>
      </c>
      <c r="K6" s="184" t="s">
        <v>41</v>
      </c>
      <c r="L6" s="184" t="str">
        <f>UPPER("Erfolgsquote der Beteiligung")</f>
        <v>ERFOLGSQUOTE DER BETEILIGUNG</v>
      </c>
    </row>
    <row r="7" spans="2:14" ht="15" customHeight="1">
      <c r="B7" s="181">
        <v>1000001</v>
      </c>
      <c r="C7" s="207" t="s">
        <v>40</v>
      </c>
      <c r="D7" s="205"/>
      <c r="E7" s="206">
        <f ca="1">_xll.PALO.DATAC("jedoxtest/EU_PM_CUBE02","EUPM_Mittel2_Cube",Datenstand,"Alle Beteiligungen","Alle Koordinatoren","Alle Unternehmensgrößen","-2","Alle Organisationstypen",28,"Alle Expertevaluierungsstatus","-2","-2",$B7,"-2","Alle","-2","anzahl_beteiligungen")</f>
        <v>113028</v>
      </c>
      <c r="F7" s="244">
        <f ca="1">E7/E7</f>
        <v>1</v>
      </c>
      <c r="G7" s="245">
        <f ca="1">_xll.PALO.DATAC("jedoxtest/EU_PM_CUBE02","EUPM_Mittel2_Cube",Datenstand,"Alle Beteiligungen","Alle Koordinatoren","Alle Unternehmensgrößen","-2","Alle Organisationstypen",28,"Alle Expertevaluierungsstatus","-2","-2",$B7,"-2","Alle","-2","foerderung")/1000000</f>
        <v>51597.038472098</v>
      </c>
      <c r="H7" s="244">
        <f ca="1">G7/G7</f>
        <v>1</v>
      </c>
      <c r="I7" s="206">
        <f ca="1">_xll.PALO.DATAC("jedoxtest/EU_PM_CUBE02","EUPM_Mittel2_Cube",Datenstand,"Alle Beteiligungen","Alle Koordinatoren","Alle Unternehmensgrößen","-2","Alle Organisationstypen",28,"Alle Expertevaluierungsstatus","-2","-2",$B7,"-2","Alle","-2","anzahl_koordinatoren")</f>
        <v>20138</v>
      </c>
      <c r="J7" s="244">
        <f ca="1">I7/I7</f>
        <v>1</v>
      </c>
      <c r="K7" s="206">
        <f ca="1">_xll.PALO.DATAC("jedoxtest/EU_PM_CUBE02","EUPM_Mittel2_Cube",Datenstand,"Alle Beteiligungen","Alle Koordinatoren","Alle Unternehmensgrößen","-2","Alle Organisationstypen",5,"Alle Expertevaluierungsstatus","-2","-2",$B7,"-2","Alle","-2","anzahl_beteiligungen")</f>
        <v>604256</v>
      </c>
      <c r="L7" s="580">
        <f ca="1">_xll.PALO.DATAC("jedoxtest/EU_PM_CUBE02","EUPM_Mittel2_Cube",Datenstand,"Alle Beteiligungen","Alle Koordinatoren","Alle Unternehmensgrößen","-2","Alle Organisationstypen",14,"Alle Expertevaluierungsstatus","-2","-2",$B7,"-2","Alle","-2","anzahl_beteiligungen")/_xll.PALO.DATAC("jedoxtest/EU_PM_CUBE02","EUPM_Mittel2_Cube",Datenstand,"Alle Beteiligungen","Alle Koordinatoren","Alle Unternehmensgrößen","-2","Alle Organisationstypen",5,"Alle Expertevaluierungsstatus","-2","-2",$B7,"-2","Alle","-2","anzahl_beteiligungen")</f>
        <v>0.18266430122332256</v>
      </c>
    </row>
    <row r="8" spans="2:14" ht="15" customHeight="1">
      <c r="B8" s="240">
        <v>223</v>
      </c>
      <c r="C8" s="292" t="str">
        <f ca="1">_xll.PALO.DATAC("jedoxtest/EU_PM_CUBE02","#_Staatengruppen_und_NUTS","Langbezeichnung",B8)</f>
        <v>Deutschland</v>
      </c>
      <c r="D8" s="293"/>
      <c r="E8" s="291">
        <f ca="1">_xll.PALO.DATAC("jedoxtest/EU_PM_CUBE02","EUPM_Mittel2_Cube",Datenstand,"Alle Beteiligungen","Alle Koordinatoren","Alle Unternehmensgrößen","-2","Alle Organisationstypen",28,"Alle Expertevaluierungsstatus","-2","-2",$B8,"-2","Alle","-2","anzahl_beteiligungen")</f>
        <v>15212</v>
      </c>
      <c r="F8" s="294">
        <f ca="1">E8/E$7</f>
        <v>0.13458612025338854</v>
      </c>
      <c r="G8" s="295">
        <f ca="1">_xll.PALO.DATAC("jedoxtest/EU_PM_CUBE02","EUPM_Mittel2_Cube",Datenstand,"Alle Beteiligungen","Alle Koordinatoren","Alle Unternehmensgrößen","-2","Alle Organisationstypen",28,"Alle Expertevaluierungsstatus","-2","-2",$B8,"-2","Alle","-2","foerderung")/1000000</f>
        <v>8993.5365201200111</v>
      </c>
      <c r="H8" s="294">
        <f ca="1">G8/G$7</f>
        <v>0.17430334737105935</v>
      </c>
      <c r="I8" s="291">
        <f ca="1">_xll.PALO.DATAC("jedoxtest/EU_PM_CUBE02","EUPM_Mittel2_Cube",Datenstand,"Alle Beteiligungen","Alle Koordinatoren","Alle Unternehmensgrößen","-2","Alle Organisationstypen",28,"Alle Expertevaluierungsstatus","-2","-2",$B8,"-2","Alle","-2","anzahl_koordinatoren")</f>
        <v>2979</v>
      </c>
      <c r="J8" s="294">
        <f ca="1">I8/I$7</f>
        <v>0.14792928791339754</v>
      </c>
      <c r="K8" s="291">
        <f ca="1">_xll.PALO.DATAC("jedoxtest/EU_PM_CUBE02","EUPM_Mittel2_Cube",Datenstand,"Alle Beteiligungen","Alle Koordinatoren","Alle Unternehmensgrößen","-2","Alle Organisationstypen",5,"Alle Expertevaluierungsstatus","-2","-2",$B8,"-2","Alle","-2","anzahl_beteiligungen")</f>
        <v>75283</v>
      </c>
      <c r="L8" s="294">
        <f ca="1">_xll.PALO.DATAC("jedoxtest/EU_PM_CUBE02","EUPM_Mittel2_Cube",Datenstand,"Alle Beteiligungen","Alle Koordinatoren","Alle Unternehmensgrößen","-2","Alle Organisationstypen",14,"Alle Expertevaluierungsstatus","-2","-2",$B8,"-2","Alle","-2","anzahl_beteiligungen")/_xll.PALO.DATAC("jedoxtest/EU_PM_CUBE02","EUPM_Mittel2_Cube",Datenstand,"Alle Beteiligungen","Alle Koordinatoren","Alle Unternehmensgrößen","-2","Alle Organisationstypen",5,"Alle Expertevaluierungsstatus","-2","-2",$B8,"-2","Alle","-2","anzahl_beteiligungen")</f>
        <v>0.19965994978946111</v>
      </c>
      <c r="N8" s="352">
        <f t="shared" ref="N8:N34" ca="1" si="0">_xlfn.RANK.EQ(L8,$L$8:$L$34)</f>
        <v>4</v>
      </c>
    </row>
    <row r="9" spans="2:14" ht="15" customHeight="1">
      <c r="B9" s="240">
        <v>815</v>
      </c>
      <c r="C9" s="296" t="str">
        <f ca="1">_xll.PALO.DATAC("jedoxtest/EU_PM_CUBE02","#_Staatengruppen_und_NUTS","Langbezeichnung",B9)</f>
        <v>Spanien</v>
      </c>
      <c r="D9" s="297"/>
      <c r="E9" s="125">
        <f ca="1">_xll.PALO.DATAC("jedoxtest/EU_PM_CUBE02","EUPM_Mittel2_Cube",Datenstand,"Alle Beteiligungen","Alle Koordinatoren","Alle Unternehmensgrößen","-2","Alle Organisationstypen",28,"Alle Expertevaluierungsstatus","-2","-2",$B9,"-2","Alle","-2","anzahl_beteiligungen")</f>
        <v>15024</v>
      </c>
      <c r="F9" s="284">
        <f ca="1">E9/E$7</f>
        <v>0.13292281558551863</v>
      </c>
      <c r="G9" s="298">
        <f ca="1">_xll.PALO.DATAC("jedoxtest/EU_PM_CUBE02","EUPM_Mittel2_Cube",Datenstand,"Alle Beteiligungen","Alle Koordinatoren","Alle Unternehmensgrößen","-2","Alle Organisationstypen",28,"Alle Expertevaluierungsstatus","-2","-2",$B9,"-2","Alle","-2","foerderung")/1000000</f>
        <v>6034.2341561000003</v>
      </c>
      <c r="H9" s="284">
        <f ca="1">G9/G$7</f>
        <v>0.11694923458374686</v>
      </c>
      <c r="I9" s="125">
        <f ca="1">_xll.PALO.DATAC("jedoxtest/EU_PM_CUBE02","EUPM_Mittel2_Cube",Datenstand,"Alle Beteiligungen","Alle Koordinatoren","Alle Unternehmensgrößen","-2","Alle Organisationstypen",28,"Alle Expertevaluierungsstatus","-2","-2",$B9,"-2","Alle","-2","anzahl_koordinatoren")</f>
        <v>2856</v>
      </c>
      <c r="J9" s="284">
        <f ca="1">I9/I$7</f>
        <v>0.14182143211838316</v>
      </c>
      <c r="K9" s="125">
        <f ca="1">_xll.PALO.DATAC("jedoxtest/EU_PM_CUBE02","EUPM_Mittel2_Cube",Datenstand,"Alle Beteiligungen","Alle Koordinatoren","Alle Unternehmensgrößen","-2","Alle Organisationstypen",5,"Alle Expertevaluierungsstatus","-2","-2",$B9,"-2","Alle","-2","anzahl_beteiligungen")</f>
        <v>81791</v>
      </c>
      <c r="L9" s="284">
        <f ca="1">_xll.PALO.DATAC("jedoxtest/EU_PM_CUBE02","EUPM_Mittel2_Cube",Datenstand,"Alle Beteiligungen","Alle Koordinatoren","Alle Unternehmensgrößen","-2","Alle Organisationstypen",14,"Alle Expertevaluierungsstatus","-2","-2",$B9,"-2","Alle","-2","anzahl_beteiligungen")/_xll.PALO.DATAC("jedoxtest/EU_PM_CUBE02","EUPM_Mittel2_Cube",Datenstand,"Alle Beteiligungen","Alle Koordinatoren","Alle Unternehmensgrößen","-2","Alle Organisationstypen",5,"Alle Expertevaluierungsstatus","-2","-2",$B9,"-2","Alle","-2","anzahl_beteiligungen")</f>
        <v>0.17733002408577961</v>
      </c>
      <c r="N9" s="352">
        <f t="shared" ca="1" si="0"/>
        <v>11</v>
      </c>
    </row>
    <row r="10" spans="2:14" ht="15" customHeight="1">
      <c r="B10" s="240">
        <v>1154</v>
      </c>
      <c r="C10" s="296" t="str">
        <f ca="1">_xll.PALO.DATAC("jedoxtest/EU_PM_CUBE02","#_Staatengruppen_und_NUTS","Langbezeichnung",B10)</f>
        <v>Italien</v>
      </c>
      <c r="D10" s="297"/>
      <c r="E10" s="125">
        <f ca="1">_xll.PALO.DATAC("jedoxtest/EU_PM_CUBE02","EUPM_Mittel2_Cube",Datenstand,"Alle Beteiligungen","Alle Koordinatoren","Alle Unternehmensgrößen","-2","Alle Organisationstypen",28,"Alle Expertevaluierungsstatus","-2","-2",$B10,"-2","Alle","-2","anzahl_beteiligungen")</f>
        <v>12816</v>
      </c>
      <c r="F10" s="284">
        <f ca="1">E10/E$7</f>
        <v>0.11338783310330183</v>
      </c>
      <c r="G10" s="298">
        <f ca="1">_xll.PALO.DATAC("jedoxtest/EU_PM_CUBE02","EUPM_Mittel2_Cube",Datenstand,"Alle Beteiligungen","Alle Koordinatoren","Alle Unternehmensgrößen","-2","Alle Organisationstypen",28,"Alle Expertevaluierungsstatus","-2","-2",$B10,"-2","Alle","-2","foerderung")/1000000</f>
        <v>4727.59342664002</v>
      </c>
      <c r="H10" s="284">
        <f ca="1">G10/G$7</f>
        <v>9.1625286385313545E-2</v>
      </c>
      <c r="I10" s="125">
        <f ca="1">_xll.PALO.DATAC("jedoxtest/EU_PM_CUBE02","EUPM_Mittel2_Cube",Datenstand,"Alle Beteiligungen","Alle Koordinatoren","Alle Unternehmensgrößen","-2","Alle Organisationstypen",28,"Alle Expertevaluierungsstatus","-2","-2",$B10,"-2","Alle","-2","anzahl_koordinatoren")</f>
        <v>2299</v>
      </c>
      <c r="J10" s="284">
        <f ca="1">I10/I$7</f>
        <v>0.11416228026616347</v>
      </c>
      <c r="K10" s="125">
        <f ca="1">_xll.PALO.DATAC("jedoxtest/EU_PM_CUBE02","EUPM_Mittel2_Cube",Datenstand,"Alle Beteiligungen","Alle Koordinatoren","Alle Unternehmensgrößen","-2","Alle Organisationstypen",5,"Alle Expertevaluierungsstatus","-2","-2",$B10,"-2","Alle","-2","anzahl_beteiligungen")</f>
        <v>75797</v>
      </c>
      <c r="L10" s="284">
        <f ca="1">_xll.PALO.DATAC("jedoxtest/EU_PM_CUBE02","EUPM_Mittel2_Cube",Datenstand,"Alle Beteiligungen","Alle Koordinatoren","Alle Unternehmensgrößen","-2","Alle Organisationstypen",14,"Alle Expertevaluierungsstatus","-2","-2",$B10,"-2","Alle","-2","anzahl_beteiligungen")/_xll.PALO.DATAC("jedoxtest/EU_PM_CUBE02","EUPM_Mittel2_Cube",Datenstand,"Alle Beteiligungen","Alle Koordinatoren","Alle Unternehmensgrößen","-2","Alle Organisationstypen",5,"Alle Expertevaluierungsstatus","-2","-2",$B10,"-2","Alle","-2","anzahl_beteiligungen")</f>
        <v>0.16156312255102445</v>
      </c>
      <c r="N10" s="352">
        <f t="shared" ca="1" si="0"/>
        <v>21</v>
      </c>
    </row>
    <row r="11" spans="2:14" ht="15" customHeight="1">
      <c r="B11" s="240">
        <v>935</v>
      </c>
      <c r="C11" s="296" t="str">
        <f ca="1">_xll.PALO.DATAC("jedoxtest/EU_PM_CUBE02","#_Staatengruppen_und_NUTS","Langbezeichnung",B11)</f>
        <v>Frankreich</v>
      </c>
      <c r="D11" s="297"/>
      <c r="E11" s="125">
        <f ca="1">_xll.PALO.DATAC("jedoxtest/EU_PM_CUBE02","EUPM_Mittel2_Cube",Datenstand,"Alle Beteiligungen","Alle Koordinatoren","Alle Unternehmensgrößen","-2","Alle Organisationstypen",28,"Alle Expertevaluierungsstatus","-2","-2",$B11,"-2","Alle","-2","anzahl_beteiligungen")</f>
        <v>12554</v>
      </c>
      <c r="F11" s="284">
        <f ca="1">E11/E$7</f>
        <v>0.11106982340658952</v>
      </c>
      <c r="G11" s="298">
        <f ca="1">_xll.PALO.DATAC("jedoxtest/EU_PM_CUBE02","EUPM_Mittel2_Cube",Datenstand,"Alle Beteiligungen","Alle Koordinatoren","Alle Unternehmensgrößen","-2","Alle Organisationstypen",28,"Alle Expertevaluierungsstatus","-2","-2",$B11,"-2","Alle","-2","foerderung")/1000000</f>
        <v>6433.4576383000403</v>
      </c>
      <c r="H11" s="284">
        <f ca="1">G11/G$7</f>
        <v>0.12468656784980101</v>
      </c>
      <c r="I11" s="125">
        <f ca="1">_xll.PALO.DATAC("jedoxtest/EU_PM_CUBE02","EUPM_Mittel2_Cube",Datenstand,"Alle Beteiligungen","Alle Koordinatoren","Alle Unternehmensgrößen","-2","Alle Organisationstypen",28,"Alle Expertevaluierungsstatus","-2","-2",$B11,"-2","Alle","-2","anzahl_koordinatoren")</f>
        <v>2320</v>
      </c>
      <c r="J11" s="284">
        <f ca="1">I11/I$7</f>
        <v>0.11520508491409276</v>
      </c>
      <c r="K11" s="125">
        <f ca="1">_xll.PALO.DATAC("jedoxtest/EU_PM_CUBE02","EUPM_Mittel2_Cube",Datenstand,"Alle Beteiligungen","Alle Koordinatoren","Alle Unternehmensgrößen","-2","Alle Organisationstypen",5,"Alle Expertevaluierungsstatus","-2","-2",$B11,"-2","Alle","-2","anzahl_beteiligungen")</f>
        <v>55870</v>
      </c>
      <c r="L11" s="284">
        <f ca="1">_xll.PALO.DATAC("jedoxtest/EU_PM_CUBE02","EUPM_Mittel2_Cube",Datenstand,"Alle Beteiligungen","Alle Koordinatoren","Alle Unternehmensgrößen","-2","Alle Organisationstypen",14,"Alle Expertevaluierungsstatus","-2","-2",$B11,"-2","Alle","-2","anzahl_beteiligungen")/_xll.PALO.DATAC("jedoxtest/EU_PM_CUBE02","EUPM_Mittel2_Cube",Datenstand,"Alle Beteiligungen","Alle Koordinatoren","Alle Unternehmensgrößen","-2","Alle Organisationstypen",5,"Alle Expertevaluierungsstatus","-2","-2",$B11,"-2","Alle","-2","anzahl_beteiligungen")</f>
        <v>0.20954000357973868</v>
      </c>
      <c r="N11" s="352">
        <f t="shared" ca="1" si="0"/>
        <v>3</v>
      </c>
    </row>
    <row r="12" spans="2:14" ht="15" customHeight="1">
      <c r="B12" s="240">
        <v>1349</v>
      </c>
      <c r="C12" s="296" t="str">
        <f ca="1">_xll.PALO.DATAC("jedoxtest/EU_PM_CUBE02","#_Staatengruppen_und_NUTS","Langbezeichnung",B12)</f>
        <v>Niederlande</v>
      </c>
      <c r="D12" s="297"/>
      <c r="E12" s="125">
        <f ca="1">_xll.PALO.DATAC("jedoxtest/EU_PM_CUBE02","EUPM_Mittel2_Cube",Datenstand,"Alle Beteiligungen","Alle Koordinatoren","Alle Unternehmensgrößen","-2","Alle Organisationstypen",28,"Alle Expertevaluierungsstatus","-2","-2",$B12,"-2","Alle","-2","anzahl_beteiligungen")</f>
        <v>8546</v>
      </c>
      <c r="F12" s="284">
        <f ca="1">E12/E$7</f>
        <v>7.5609583466043809E-2</v>
      </c>
      <c r="G12" s="298">
        <f ca="1">_xll.PALO.DATAC("jedoxtest/EU_PM_CUBE02","EUPM_Mittel2_Cube",Datenstand,"Alle Beteiligungen","Alle Koordinatoren","Alle Unternehmensgrößen","-2","Alle Organisationstypen",28,"Alle Expertevaluierungsstatus","-2","-2",$B12,"-2","Alle","-2","foerderung")/1000000</f>
        <v>4930.9251077100098</v>
      </c>
      <c r="H12" s="284">
        <f ca="1">G12/G$7</f>
        <v>9.5566049016097956E-2</v>
      </c>
      <c r="I12" s="125">
        <f ca="1">_xll.PALO.DATAC("jedoxtest/EU_PM_CUBE02","EUPM_Mittel2_Cube",Datenstand,"Alle Beteiligungen","Alle Koordinatoren","Alle Unternehmensgrößen","-2","Alle Organisationstypen",28,"Alle Expertevaluierungsstatus","-2","-2",$B12,"-2","Alle","-2","anzahl_koordinatoren")</f>
        <v>1811</v>
      </c>
      <c r="J12" s="284">
        <f ca="1">I12/I$7</f>
        <v>8.9929486542854306E-2</v>
      </c>
      <c r="K12" s="125">
        <f ca="1">_xll.PALO.DATAC("jedoxtest/EU_PM_CUBE02","EUPM_Mittel2_Cube",Datenstand,"Alle Beteiligungen","Alle Koordinatoren","Alle Unternehmensgrößen","-2","Alle Organisationstypen",5,"Alle Expertevaluierungsstatus","-2","-2",$B12,"-2","Alle","-2","anzahl_beteiligungen")</f>
        <v>39198</v>
      </c>
      <c r="L12" s="284">
        <f ca="1">_xll.PALO.DATAC("jedoxtest/EU_PM_CUBE02","EUPM_Mittel2_Cube",Datenstand,"Alle Beteiligungen","Alle Koordinatoren","Alle Unternehmensgrößen","-2","Alle Organisationstypen",14,"Alle Expertevaluierungsstatus","-2","-2",$B12,"-2","Alle","-2","anzahl_beteiligungen")/_xll.PALO.DATAC("jedoxtest/EU_PM_CUBE02","EUPM_Mittel2_Cube",Datenstand,"Alle Beteiligungen","Alle Koordinatoren","Alle Unternehmensgrößen","-2","Alle Organisationstypen",5,"Alle Expertevaluierungsstatus","-2","-2",$B12,"-2","Alle","-2","anzahl_beteiligungen")</f>
        <v>0.21090361753150672</v>
      </c>
      <c r="N12" s="352">
        <f t="shared" ca="1" si="0"/>
        <v>2</v>
      </c>
    </row>
    <row r="13" spans="2:14" ht="15" customHeight="1">
      <c r="B13" s="240">
        <v>52</v>
      </c>
      <c r="C13" s="296" t="str">
        <f ca="1">_xll.PALO.DATAC("jedoxtest/EU_PM_CUBE02","#_Staatengruppen_und_NUTS","Langbezeichnung",B13)</f>
        <v>Belgien</v>
      </c>
      <c r="D13" s="297"/>
      <c r="E13" s="125">
        <f ca="1">_xll.PALO.DATAC("jedoxtest/EU_PM_CUBE02","EUPM_Mittel2_Cube",Datenstand,"Alle Beteiligungen","Alle Koordinatoren","Alle Unternehmensgrößen","-2","Alle Organisationstypen",28,"Alle Expertevaluierungsstatus","-2","-2",$B13,"-2","Alle","-2","anzahl_beteiligungen")</f>
        <v>7409</v>
      </c>
      <c r="F13" s="284">
        <f ca="1">E13/E$7</f>
        <v>6.5550129171532717E-2</v>
      </c>
      <c r="G13" s="298">
        <f ca="1">_xll.PALO.DATAC("jedoxtest/EU_PM_CUBE02","EUPM_Mittel2_Cube",Datenstand,"Alle Beteiligungen","Alle Koordinatoren","Alle Unternehmensgrößen","-2","Alle Organisationstypen",28,"Alle Expertevaluierungsstatus","-2","-2",$B13,"-2","Alle","-2","foerderung")/1000000</f>
        <v>4284.32831928001</v>
      </c>
      <c r="H13" s="284">
        <f ca="1">G13/G$7</f>
        <v>8.3034384262128447E-2</v>
      </c>
      <c r="I13" s="125">
        <f ca="1">_xll.PALO.DATAC("jedoxtest/EU_PM_CUBE02","EUPM_Mittel2_Cube",Datenstand,"Alle Beteiligungen","Alle Koordinatoren","Alle Unternehmensgrößen","-2","Alle Organisationstypen",28,"Alle Expertevaluierungsstatus","-2","-2",$B13,"-2","Alle","-2","anzahl_koordinatoren")</f>
        <v>1265</v>
      </c>
      <c r="J13" s="284">
        <f ca="1">I13/I$7</f>
        <v>6.2816565696692819E-2</v>
      </c>
      <c r="K13" s="125">
        <f ca="1">_xll.PALO.DATAC("jedoxtest/EU_PM_CUBE02","EUPM_Mittel2_Cube",Datenstand,"Alle Beteiligungen","Alle Koordinatoren","Alle Unternehmensgrößen","-2","Alle Organisationstypen",5,"Alle Expertevaluierungsstatus","-2","-2",$B13,"-2","Alle","-2","anzahl_beteiligungen")</f>
        <v>34172</v>
      </c>
      <c r="L13" s="284">
        <f ca="1">_xll.PALO.DATAC("jedoxtest/EU_PM_CUBE02","EUPM_Mittel2_Cube",Datenstand,"Alle Beteiligungen","Alle Koordinatoren","Alle Unternehmensgrößen","-2","Alle Organisationstypen",14,"Alle Expertevaluierungsstatus","-2","-2",$B13,"-2","Alle","-2","anzahl_beteiligungen")/_xll.PALO.DATAC("jedoxtest/EU_PM_CUBE02","EUPM_Mittel2_Cube",Datenstand,"Alle Beteiligungen","Alle Koordinatoren","Alle Unternehmensgrößen","-2","Alle Organisationstypen",5,"Alle Expertevaluierungsstatus","-2","-2",$B13,"-2","Alle","-2","anzahl_beteiligungen")</f>
        <v>0.21742947442350463</v>
      </c>
      <c r="N13" s="352">
        <f t="shared" ca="1" si="0"/>
        <v>1</v>
      </c>
    </row>
    <row r="14" spans="2:14" ht="15" customHeight="1">
      <c r="B14" s="240">
        <v>743</v>
      </c>
      <c r="C14" s="457" t="str">
        <f ca="1">_xll.PALO.DATAC("jedoxtest/EU_PM_CUBE02","#_Staatengruppen_und_NUTS","Langbezeichnung",B14)</f>
        <v>Griechenland</v>
      </c>
      <c r="D14" s="455"/>
      <c r="E14" s="124">
        <f ca="1">_xll.PALO.DATAC("jedoxtest/EU_PM_CUBE02","EUPM_Mittel2_Cube",Datenstand,"Alle Beteiligungen","Alle Koordinatoren","Alle Unternehmensgrößen","-2","Alle Organisationstypen",28,"Alle Expertevaluierungsstatus","-2","-2",$B14,"-2","Alle","-2","anzahl_beteiligungen")</f>
        <v>5879</v>
      </c>
      <c r="F14" s="283">
        <f ca="1">E14/E$7</f>
        <v>5.2013660331953142E-2</v>
      </c>
      <c r="G14" s="520">
        <f ca="1">_xll.PALO.DATAC("jedoxtest/EU_PM_CUBE02","EUPM_Mittel2_Cube",Datenstand,"Alle Beteiligungen","Alle Koordinatoren","Alle Unternehmensgrößen","-2","Alle Organisationstypen",28,"Alle Expertevaluierungsstatus","-2","-2",$B14,"-2","Alle","-2","foerderung")/1000000</f>
        <v>2105.0269080600101</v>
      </c>
      <c r="H14" s="283">
        <f ca="1">G14/G$7</f>
        <v>4.0797436643545737E-2</v>
      </c>
      <c r="I14" s="124">
        <f ca="1">_xll.PALO.DATAC("jedoxtest/EU_PM_CUBE02","EUPM_Mittel2_Cube",Datenstand,"Alle Beteiligungen","Alle Koordinatoren","Alle Unternehmensgrößen","-2","Alle Organisationstypen",28,"Alle Expertevaluierungsstatus","-2","-2",$B14,"-2","Alle","-2","anzahl_koordinatoren")</f>
        <v>688</v>
      </c>
      <c r="J14" s="283">
        <f ca="1">I14/I$7</f>
        <v>3.4164266560730953E-2</v>
      </c>
      <c r="K14" s="124">
        <f ca="1">_xll.PALO.DATAC("jedoxtest/EU_PM_CUBE02","EUPM_Mittel2_Cube",Datenstand,"Alle Beteiligungen","Alle Koordinatoren","Alle Unternehmensgrößen","-2","Alle Organisationstypen",5,"Alle Expertevaluierungsstatus","-2","-2",$B14,"-2","Alle","-2","anzahl_beteiligungen")</f>
        <v>38217</v>
      </c>
      <c r="L14" s="283">
        <f ca="1">_xll.PALO.DATAC("jedoxtest/EU_PM_CUBE02","EUPM_Mittel2_Cube",Datenstand,"Alle Beteiligungen","Alle Koordinatoren","Alle Unternehmensgrößen","-2","Alle Organisationstypen",14,"Alle Expertevaluierungsstatus","-2","-2",$B14,"-2","Alle","-2","anzahl_beteiligungen")/_xll.PALO.DATAC("jedoxtest/EU_PM_CUBE02","EUPM_Mittel2_Cube",Datenstand,"Alle Beteiligungen","Alle Koordinatoren","Alle Unternehmensgrößen","-2","Alle Organisationstypen",5,"Alle Expertevaluierungsstatus","-2","-2",$B14,"-2","Alle","-2","anzahl_beteiligungen")</f>
        <v>0.15398906245911506</v>
      </c>
      <c r="N14" s="352">
        <f t="shared" ca="1" si="0"/>
        <v>24</v>
      </c>
    </row>
    <row r="15" spans="2:14" ht="15" customHeight="1">
      <c r="B15" s="240">
        <v>1</v>
      </c>
      <c r="C15" s="657" t="str">
        <f ca="1">_xll.PALO.DATAC("jedoxtest/EU_PM_CUBE02","#_Staatengruppen_und_NUTS","Langbezeichnung",B15)</f>
        <v>Österreich</v>
      </c>
      <c r="D15" s="658"/>
      <c r="E15" s="659">
        <f ca="1">_xll.PALO.DATAC("jedoxtest/EU_PM_CUBE02","EUPM_Mittel2_Cube",Datenstand,"Alle Beteiligungen","Alle Koordinatoren","Alle Unternehmensgrößen","-2","Alle Organisationstypen",28,"Alle Expertevaluierungsstatus","-2","-2",$B15,"-2","Alle","-2","anzahl_beteiligungen")</f>
        <v>3919</v>
      </c>
      <c r="F15" s="660">
        <f ca="1">E15/E$7</f>
        <v>3.4672824432883886E-2</v>
      </c>
      <c r="G15" s="661">
        <f ca="1">_xll.PALO.DATAC("jedoxtest/EU_PM_CUBE02","EUPM_Mittel2_Cube",Datenstand,"Alle Beteiligungen","Alle Koordinatoren","Alle Unternehmensgrößen","-2","Alle Organisationstypen",28,"Alle Expertevaluierungsstatus","-2","-2",$B15,"-2","Alle","-2","foerderung")/1000000</f>
        <v>1856.2015674500101</v>
      </c>
      <c r="H15" s="660">
        <f ca="1">G15/G$7</f>
        <v>3.5974963339296763E-2</v>
      </c>
      <c r="I15" s="659">
        <f ca="1">_xll.PALO.DATAC("jedoxtest/EU_PM_CUBE02","EUPM_Mittel2_Cube",Datenstand,"Alle Beteiligungen","Alle Koordinatoren","Alle Unternehmensgrößen","-2","Alle Organisationstypen",28,"Alle Expertevaluierungsstatus","-2","-2",$B15,"-2","Alle","-2","anzahl_koordinatoren")</f>
        <v>774</v>
      </c>
      <c r="J15" s="660">
        <f ca="1">I15/I$7</f>
        <v>3.8434799880822323E-2</v>
      </c>
      <c r="K15" s="659">
        <f ca="1">_xll.PALO.DATAC("jedoxtest/EU_PM_CUBE02","EUPM_Mittel2_Cube",Datenstand,"Alle Beteiligungen","Alle Koordinatoren","Alle Unternehmensgrößen","-2","Alle Organisationstypen",5,"Alle Expertevaluierungsstatus","-2","-2",$B15,"-2","Alle","-2","anzahl_beteiligungen")</f>
        <v>20643</v>
      </c>
      <c r="L15" s="660">
        <f ca="1">_xll.PALO.DATAC("jedoxtest/EU_PM_CUBE02","EUPM_Mittel2_Cube",Datenstand,"Alle Beteiligungen","Alle Koordinatoren","Alle Unternehmensgrößen","-2","Alle Organisationstypen",14,"Alle Expertevaluierungsstatus","-2","-2",$B15,"-2","Alle","-2","anzahl_beteiligungen")/_xll.PALO.DATAC("jedoxtest/EU_PM_CUBE02","EUPM_Mittel2_Cube",Datenstand,"Alle Beteiligungen","Alle Koordinatoren","Alle Unternehmensgrößen","-2","Alle Organisationstypen",5,"Alle Expertevaluierungsstatus","-2","-2",$B15,"-2","Alle","-2","anzahl_beteiligungen")</f>
        <v>0.18853848762292302</v>
      </c>
      <c r="N15" s="352">
        <f t="shared" ca="1" si="0"/>
        <v>7</v>
      </c>
    </row>
    <row r="16" spans="2:14" s="352" customFormat="1" ht="15" customHeight="1">
      <c r="B16" s="240">
        <v>1529</v>
      </c>
      <c r="C16" s="457" t="str">
        <f ca="1">_xll.PALO.DATAC("jedoxtest/EU_PM_CUBE02","#_Staatengruppen_und_NUTS","Langbezeichnung",B16)</f>
        <v>Portugal</v>
      </c>
      <c r="D16" s="455"/>
      <c r="E16" s="124">
        <f ca="1">_xll.PALO.DATAC("jedoxtest/EU_PM_CUBE02","EUPM_Mittel2_Cube",Datenstand,"Alle Beteiligungen","Alle Koordinatoren","Alle Unternehmensgrößen","-2","Alle Organisationstypen",28,"Alle Expertevaluierungsstatus","-2","-2",$B16,"-2","Alle","-2","anzahl_beteiligungen")</f>
        <v>3895</v>
      </c>
      <c r="F16" s="283">
        <f ca="1">E16/E$7</f>
        <v>3.4460487666772836E-2</v>
      </c>
      <c r="G16" s="520">
        <f ca="1">_xll.PALO.DATAC("jedoxtest/EU_PM_CUBE02","EUPM_Mittel2_Cube",Datenstand,"Alle Beteiligungen","Alle Koordinatoren","Alle Unternehmensgrößen","-2","Alle Organisationstypen",28,"Alle Expertevaluierungsstatus","-2","-2",$B16,"-2","Alle","-2","foerderung")/1000000</f>
        <v>1281.8536446600001</v>
      </c>
      <c r="H16" s="283">
        <f ca="1">G16/G$7</f>
        <v>2.4843550766061599E-2</v>
      </c>
      <c r="I16" s="124">
        <f ca="1">_xll.PALO.DATAC("jedoxtest/EU_PM_CUBE02","EUPM_Mittel2_Cube",Datenstand,"Alle Beteiligungen","Alle Koordinatoren","Alle Unternehmensgrößen","-2","Alle Organisationstypen",28,"Alle Expertevaluierungsstatus","-2","-2",$B16,"-2","Alle","-2","anzahl_koordinatoren")</f>
        <v>581</v>
      </c>
      <c r="J16" s="283">
        <f ca="1">I16/I$7</f>
        <v>2.8850928592710299E-2</v>
      </c>
      <c r="K16" s="124">
        <f ca="1">_xll.PALO.DATAC("jedoxtest/EU_PM_CUBE02","EUPM_Mittel2_Cube",Datenstand,"Alle Beteiligungen","Alle Koordinatoren","Alle Unternehmensgrößen","-2","Alle Organisationstypen",5,"Alle Expertevaluierungsstatus","-2","-2",$B16,"-2","Alle","-2","anzahl_beteiligungen")</f>
        <v>24597</v>
      </c>
      <c r="L16" s="283">
        <f ca="1">_xll.PALO.DATAC("jedoxtest/EU_PM_CUBE02","EUPM_Mittel2_Cube",Datenstand,"Alle Beteiligungen","Alle Koordinatoren","Alle Unternehmensgrößen","-2","Alle Organisationstypen",14,"Alle Expertevaluierungsstatus","-2","-2",$B16,"-2","Alle","-2","anzahl_beteiligungen")/_xll.PALO.DATAC("jedoxtest/EU_PM_CUBE02","EUPM_Mittel2_Cube",Datenstand,"Alle Beteiligungen","Alle Koordinatoren","Alle Unternehmensgrößen","-2","Alle Organisationstypen",5,"Alle Expertevaluierungsstatus","-2","-2",$B16,"-2","Alle","-2","anzahl_beteiligungen")</f>
        <v>0.1539212099036468</v>
      </c>
      <c r="N16" s="352">
        <f t="shared" ca="1" si="0"/>
        <v>25</v>
      </c>
    </row>
    <row r="17" spans="2:14" ht="15" customHeight="1">
      <c r="B17" s="240">
        <v>1631</v>
      </c>
      <c r="C17" s="457" t="str">
        <f ca="1">_xll.PALO.DATAC("jedoxtest/EU_PM_CUBE02","#_Staatengruppen_und_NUTS","Langbezeichnung",B17)</f>
        <v>Schweden</v>
      </c>
      <c r="D17" s="455"/>
      <c r="E17" s="124">
        <f ca="1">_xll.PALO.DATAC("jedoxtest/EU_PM_CUBE02","EUPM_Mittel2_Cube",Datenstand,"Alle Beteiligungen","Alle Koordinatoren","Alle Unternehmensgrößen","-2","Alle Organisationstypen",28,"Alle Expertevaluierungsstatus","-2","-2",$B17,"-2","Alle","-2","anzahl_beteiligungen")</f>
        <v>3893</v>
      </c>
      <c r="F17" s="283">
        <f ca="1">E17/E$7</f>
        <v>3.444279293626358E-2</v>
      </c>
      <c r="G17" s="520">
        <f ca="1">_xll.PALO.DATAC("jedoxtest/EU_PM_CUBE02","EUPM_Mittel2_Cube",Datenstand,"Alle Beteiligungen","Alle Koordinatoren","Alle Unternehmensgrößen","-2","Alle Organisationstypen",28,"Alle Expertevaluierungsstatus","-2","-2",$B17,"-2","Alle","-2","foerderung")/1000000</f>
        <v>1960.46563397</v>
      </c>
      <c r="H17" s="283">
        <f ca="1">G17/G$7</f>
        <v>3.7995700761588404E-2</v>
      </c>
      <c r="I17" s="124">
        <f ca="1">_xll.PALO.DATAC("jedoxtest/EU_PM_CUBE02","EUPM_Mittel2_Cube",Datenstand,"Alle Beteiligungen","Alle Koordinatoren","Alle Unternehmensgrößen","-2","Alle Organisationstypen",28,"Alle Expertevaluierungsstatus","-2","-2",$B17,"-2","Alle","-2","anzahl_koordinatoren")</f>
        <v>885</v>
      </c>
      <c r="J17" s="283">
        <f ca="1">I17/I$7</f>
        <v>4.3946767305591418E-2</v>
      </c>
      <c r="K17" s="124">
        <f ca="1">_xll.PALO.DATAC("jedoxtest/EU_PM_CUBE02","EUPM_Mittel2_Cube",Datenstand,"Alle Beteiligungen","Alle Koordinatoren","Alle Unternehmensgrößen","-2","Alle Organisationstypen",5,"Alle Expertevaluierungsstatus","-2","-2",$B17,"-2","Alle","-2","anzahl_beteiligungen")</f>
        <v>20985</v>
      </c>
      <c r="L17" s="283">
        <f ca="1">_xll.PALO.DATAC("jedoxtest/EU_PM_CUBE02","EUPM_Mittel2_Cube",Datenstand,"Alle Beteiligungen","Alle Koordinatoren","Alle Unternehmensgrößen","-2","Alle Organisationstypen",14,"Alle Expertevaluierungsstatus","-2","-2",$B17,"-2","Alle","-2","anzahl_beteiligungen")/_xll.PALO.DATAC("jedoxtest/EU_PM_CUBE02","EUPM_Mittel2_Cube",Datenstand,"Alle Beteiligungen","Alle Koordinatoren","Alle Unternehmensgrößen","-2","Alle Organisationstypen",5,"Alle Expertevaluierungsstatus","-2","-2",$B17,"-2","Alle","-2","anzahl_beteiligungen")</f>
        <v>0.18346437931856088</v>
      </c>
      <c r="N17" s="352">
        <f t="shared" ca="1" si="0"/>
        <v>8</v>
      </c>
    </row>
    <row r="18" spans="2:14" ht="15" customHeight="1">
      <c r="B18" s="240">
        <v>711</v>
      </c>
      <c r="C18" s="296" t="str">
        <f ca="1">_xll.PALO.DATAC("jedoxtest/EU_PM_CUBE02","#_Staatengruppen_und_NUTS","Langbezeichnung",B18)</f>
        <v>Dänemark</v>
      </c>
      <c r="D18" s="297"/>
      <c r="E18" s="125">
        <f ca="1">_xll.PALO.DATAC("jedoxtest/EU_PM_CUBE02","EUPM_Mittel2_Cube",Datenstand,"Alle Beteiligungen","Alle Koordinatoren","Alle Unternehmensgrößen","-2","Alle Organisationstypen",28,"Alle Expertevaluierungsstatus","-2","-2",$B18,"-2","Alle","-2","anzahl_beteiligungen")</f>
        <v>3426</v>
      </c>
      <c r="F18" s="284">
        <f ca="1">E18/E$7</f>
        <v>3.031107336235269E-2</v>
      </c>
      <c r="G18" s="298">
        <f ca="1">_xll.PALO.DATAC("jedoxtest/EU_PM_CUBE02","EUPM_Mittel2_Cube",Datenstand,"Alle Beteiligungen","Alle Koordinatoren","Alle Unternehmensgrößen","-2","Alle Organisationstypen",28,"Alle Expertevaluierungsstatus","-2","-2",$B18,"-2","Alle","-2","foerderung")/1000000</f>
        <v>1654.8203159899999</v>
      </c>
      <c r="H18" s="284">
        <f ca="1">G18/G$7</f>
        <v>3.2072001901521402E-2</v>
      </c>
      <c r="I18" s="125">
        <f ca="1">_xll.PALO.DATAC("jedoxtest/EU_PM_CUBE02","EUPM_Mittel2_Cube",Datenstand,"Alle Beteiligungen","Alle Koordinatoren","Alle Unternehmensgrößen","-2","Alle Organisationstypen",28,"Alle Expertevaluierungsstatus","-2","-2",$B18,"-2","Alle","-2","anzahl_koordinatoren")</f>
        <v>931</v>
      </c>
      <c r="J18" s="284">
        <f ca="1">I18/I$7</f>
        <v>4.623100605819843E-2</v>
      </c>
      <c r="K18" s="125">
        <f ca="1">_xll.PALO.DATAC("jedoxtest/EU_PM_CUBE02","EUPM_Mittel2_Cube",Datenstand,"Alle Beteiligungen","Alle Koordinatoren","Alle Unternehmensgrößen","-2","Alle Organisationstypen",5,"Alle Expertevaluierungsstatus","-2","-2",$B18,"-2","Alle","-2","anzahl_beteiligungen")</f>
        <v>16701</v>
      </c>
      <c r="L18" s="284">
        <f ca="1">_xll.PALO.DATAC("jedoxtest/EU_PM_CUBE02","EUPM_Mittel2_Cube",Datenstand,"Alle Beteiligungen","Alle Koordinatoren","Alle Unternehmensgrößen","-2","Alle Organisationstypen",14,"Alle Expertevaluierungsstatus","-2","-2",$B18,"-2","Alle","-2","anzahl_beteiligungen")/_xll.PALO.DATAC("jedoxtest/EU_PM_CUBE02","EUPM_Mittel2_Cube",Datenstand,"Alle Beteiligungen","Alle Koordinatoren","Alle Unternehmensgrößen","-2","Alle Organisationstypen",5,"Alle Expertevaluierungsstatus","-2","-2",$B18,"-2","Alle","-2","anzahl_beteiligungen")</f>
        <v>0.19705406861864558</v>
      </c>
      <c r="N18" s="352">
        <f t="shared" ca="1" si="0"/>
        <v>5</v>
      </c>
    </row>
    <row r="19" spans="2:14" ht="15" customHeight="1">
      <c r="B19" s="240">
        <v>904</v>
      </c>
      <c r="C19" s="296" t="str">
        <f ca="1">_xll.PALO.DATAC("jedoxtest/EU_PM_CUBE02","#_Staatengruppen_und_NUTS","Langbezeichnung",B19)</f>
        <v>Finnland</v>
      </c>
      <c r="D19" s="297"/>
      <c r="E19" s="125">
        <f ca="1">_xll.PALO.DATAC("jedoxtest/EU_PM_CUBE02","EUPM_Mittel2_Cube",Datenstand,"Alle Beteiligungen","Alle Koordinatoren","Alle Unternehmensgrößen","-2","Alle Organisationstypen",28,"Alle Expertevaluierungsstatus","-2","-2",$B19,"-2","Alle","-2","anzahl_beteiligungen")</f>
        <v>3295</v>
      </c>
      <c r="F19" s="284">
        <f ca="1">E19/E$7</f>
        <v>2.9152068513996533E-2</v>
      </c>
      <c r="G19" s="298">
        <f ca="1">_xll.PALO.DATAC("jedoxtest/EU_PM_CUBE02","EUPM_Mittel2_Cube",Datenstand,"Alle Beteiligungen","Alle Koordinatoren","Alle Unternehmensgrößen","-2","Alle Organisationstypen",28,"Alle Expertevaluierungsstatus","-2","-2",$B19,"-2","Alle","-2","foerderung")/1000000</f>
        <v>1637.9816959500001</v>
      </c>
      <c r="H19" s="284">
        <f ca="1">G19/G$7</f>
        <v>3.1745653325350585E-2</v>
      </c>
      <c r="I19" s="125">
        <f ca="1">_xll.PALO.DATAC("jedoxtest/EU_PM_CUBE02","EUPM_Mittel2_Cube",Datenstand,"Alle Beteiligungen","Alle Koordinatoren","Alle Unternehmensgrößen","-2","Alle Organisationstypen",28,"Alle Expertevaluierungsstatus","-2","-2",$B19,"-2","Alle","-2","anzahl_koordinatoren")</f>
        <v>619</v>
      </c>
      <c r="J19" s="284">
        <f ca="1">I19/I$7</f>
        <v>3.0737908431820438E-2</v>
      </c>
      <c r="K19" s="125">
        <f ca="1">_xll.PALO.DATAC("jedoxtest/EU_PM_CUBE02","EUPM_Mittel2_Cube",Datenstand,"Alle Beteiligungen","Alle Koordinatoren","Alle Unternehmensgrößen","-2","Alle Organisationstypen",5,"Alle Expertevaluierungsstatus","-2","-2",$B19,"-2","Alle","-2","anzahl_beteiligungen")</f>
        <v>16638</v>
      </c>
      <c r="L19" s="284">
        <f ca="1">_xll.PALO.DATAC("jedoxtest/EU_PM_CUBE02","EUPM_Mittel2_Cube",Datenstand,"Alle Beteiligungen","Alle Koordinatoren","Alle Unternehmensgrößen","-2","Alle Organisationstypen",14,"Alle Expertevaluierungsstatus","-2","-2",$B19,"-2","Alle","-2","anzahl_beteiligungen")/_xll.PALO.DATAC("jedoxtest/EU_PM_CUBE02","EUPM_Mittel2_Cube",Datenstand,"Alle Beteiligungen","Alle Koordinatoren","Alle Unternehmensgrößen","-2","Alle Organisationstypen",5,"Alle Expertevaluierungsstatus","-2","-2",$B19,"-2","Alle","-2","anzahl_beteiligungen")</f>
        <v>0.19677845894939294</v>
      </c>
      <c r="N19" s="352">
        <f t="shared" ca="1" si="0"/>
        <v>6</v>
      </c>
    </row>
    <row r="20" spans="2:14" ht="15" customHeight="1">
      <c r="B20" s="240">
        <v>1134</v>
      </c>
      <c r="C20" s="296" t="str">
        <f ca="1">_xll.PALO.DATAC("jedoxtest/EU_PM_CUBE02","#_Staatengruppen_und_NUTS","Langbezeichnung",B20)</f>
        <v>Irland</v>
      </c>
      <c r="D20" s="297"/>
      <c r="E20" s="125">
        <f ca="1">_xll.PALO.DATAC("jedoxtest/EU_PM_CUBE02","EUPM_Mittel2_Cube",Datenstand,"Alle Beteiligungen","Alle Koordinatoren","Alle Unternehmensgrößen","-2","Alle Organisationstypen",28,"Alle Expertevaluierungsstatus","-2","-2",$B20,"-2","Alle","-2","anzahl_beteiligungen")</f>
        <v>2518</v>
      </c>
      <c r="F20" s="284">
        <f ca="1">E20/E$7</f>
        <v>2.227766571115122E-2</v>
      </c>
      <c r="G20" s="298">
        <f ca="1">_xll.PALO.DATAC("jedoxtest/EU_PM_CUBE02","EUPM_Mittel2_Cube",Datenstand,"Alle Beteiligungen","Alle Koordinatoren","Alle Unternehmensgrößen","-2","Alle Organisationstypen",28,"Alle Expertevaluierungsstatus","-2","-2",$B20,"-2","Alle","-2","foerderung")/1000000</f>
        <v>1179.0260681300001</v>
      </c>
      <c r="H20" s="284">
        <f ca="1">G20/G$7</f>
        <v>2.2850653894943583E-2</v>
      </c>
      <c r="I20" s="125">
        <f ca="1">_xll.PALO.DATAC("jedoxtest/EU_PM_CUBE02","EUPM_Mittel2_Cube",Datenstand,"Alle Beteiligungen","Alle Koordinatoren","Alle Unternehmensgrößen","-2","Alle Organisationstypen",28,"Alle Expertevaluierungsstatus","-2","-2",$B20,"-2","Alle","-2","anzahl_koordinatoren")</f>
        <v>595</v>
      </c>
      <c r="J20" s="284">
        <f ca="1">I20/I$7</f>
        <v>2.9546131691329823E-2</v>
      </c>
      <c r="K20" s="125">
        <f ca="1">_xll.PALO.DATAC("jedoxtest/EU_PM_CUBE02","EUPM_Mittel2_Cube",Datenstand,"Alle Beteiligungen","Alle Koordinatoren","Alle Unternehmensgrößen","-2","Alle Organisationstypen",5,"Alle Expertevaluierungsstatus","-2","-2",$B20,"-2","Alle","-2","anzahl_beteiligungen")</f>
        <v>14389</v>
      </c>
      <c r="L20" s="284">
        <f ca="1">_xll.PALO.DATAC("jedoxtest/EU_PM_CUBE02","EUPM_Mittel2_Cube",Datenstand,"Alle Beteiligungen","Alle Koordinatoren","Alle Unternehmensgrößen","-2","Alle Organisationstypen",14,"Alle Expertevaluierungsstatus","-2","-2",$B20,"-2","Alle","-2","anzahl_beteiligungen")/_xll.PALO.DATAC("jedoxtest/EU_PM_CUBE02","EUPM_Mittel2_Cube",Datenstand,"Alle Beteiligungen","Alle Koordinatoren","Alle Unternehmensgrößen","-2","Alle Organisationstypen",5,"Alle Expertevaluierungsstatus","-2","-2",$B20,"-2","Alle","-2","anzahl_beteiligungen")</f>
        <v>0.17325734936409756</v>
      </c>
      <c r="N20" s="352">
        <f t="shared" ca="1" si="0"/>
        <v>14</v>
      </c>
    </row>
    <row r="21" spans="2:14" ht="15" customHeight="1">
      <c r="B21" s="240">
        <v>1437</v>
      </c>
      <c r="C21" s="296" t="str">
        <f ca="1">_xll.PALO.DATAC("jedoxtest/EU_PM_CUBE02","#_Staatengruppen_und_NUTS","Langbezeichnung",B21)</f>
        <v>Polen</v>
      </c>
      <c r="D21" s="297"/>
      <c r="E21" s="125">
        <f ca="1">_xll.PALO.DATAC("jedoxtest/EU_PM_CUBE02","EUPM_Mittel2_Cube",Datenstand,"Alle Beteiligungen","Alle Koordinatoren","Alle Unternehmensgrößen","-2","Alle Organisationstypen",28,"Alle Expertevaluierungsstatus","-2","-2",$B21,"-2","Alle","-2","anzahl_beteiligungen")</f>
        <v>2416</v>
      </c>
      <c r="F21" s="284">
        <f ca="1">E21/E$7</f>
        <v>2.1375234455179248E-2</v>
      </c>
      <c r="G21" s="298">
        <f ca="1">_xll.PALO.DATAC("jedoxtest/EU_PM_CUBE02","EUPM_Mittel2_Cube",Datenstand,"Alle Beteiligungen","Alle Koordinatoren","Alle Unternehmensgrößen","-2","Alle Organisationstypen",28,"Alle Expertevaluierungsstatus","-2","-2",$B21,"-2","Alle","-2","foerderung")/1000000</f>
        <v>879.63042240999994</v>
      </c>
      <c r="H21" s="284">
        <f ca="1">G21/G$7</f>
        <v>1.704807966615517E-2</v>
      </c>
      <c r="I21" s="125">
        <f ca="1">_xll.PALO.DATAC("jedoxtest/EU_PM_CUBE02","EUPM_Mittel2_Cube",Datenstand,"Alle Beteiligungen","Alle Koordinatoren","Alle Unternehmensgrößen","-2","Alle Organisationstypen",28,"Alle Expertevaluierungsstatus","-2","-2",$B21,"-2","Alle","-2","anzahl_koordinatoren")</f>
        <v>245</v>
      </c>
      <c r="J21" s="284">
        <f ca="1">I21/I$7</f>
        <v>1.2166054225841692E-2</v>
      </c>
      <c r="K21" s="125">
        <f ca="1">_xll.PALO.DATAC("jedoxtest/EU_PM_CUBE02","EUPM_Mittel2_Cube",Datenstand,"Alle Beteiligungen","Alle Koordinatoren","Alle Unternehmensgrößen","-2","Alle Organisationstypen",5,"Alle Expertevaluierungsstatus","-2","-2",$B21,"-2","Alle","-2","anzahl_beteiligungen")</f>
        <v>15268</v>
      </c>
      <c r="L21" s="284">
        <f ca="1">_xll.PALO.DATAC("jedoxtest/EU_PM_CUBE02","EUPM_Mittel2_Cube",Datenstand,"Alle Beteiligungen","Alle Koordinatoren","Alle Unternehmensgrößen","-2","Alle Organisationstypen",14,"Alle Expertevaluierungsstatus","-2","-2",$B21,"-2","Alle","-2","anzahl_beteiligungen")/_xll.PALO.DATAC("jedoxtest/EU_PM_CUBE02","EUPM_Mittel2_Cube",Datenstand,"Alle Beteiligungen","Alle Koordinatoren","Alle Unternehmensgrößen","-2","Alle Organisationstypen",5,"Alle Expertevaluierungsstatus","-2","-2",$B21,"-2","Alle","-2","anzahl_beteiligungen")</f>
        <v>0.16243122871364946</v>
      </c>
      <c r="N21" s="352">
        <f t="shared" ca="1" si="0"/>
        <v>20</v>
      </c>
    </row>
    <row r="22" spans="2:14" ht="15" customHeight="1">
      <c r="B22" s="240">
        <v>196</v>
      </c>
      <c r="C22" s="296" t="str">
        <f ca="1">_xll.PALO.DATAC("jedoxtest/EU_PM_CUBE02","#_Staatengruppen_und_NUTS","Langbezeichnung",B22)</f>
        <v>Tschechische Republik</v>
      </c>
      <c r="D22" s="297"/>
      <c r="E22" s="125">
        <f ca="1">_xll.PALO.DATAC("jedoxtest/EU_PM_CUBE02","EUPM_Mittel2_Cube",Datenstand,"Alle Beteiligungen","Alle Koordinatoren","Alle Unternehmensgrößen","-2","Alle Organisationstypen",28,"Alle Expertevaluierungsstatus","-2","-2",$B22,"-2","Alle","-2","anzahl_beteiligungen")</f>
        <v>1896</v>
      </c>
      <c r="F22" s="284">
        <f ca="1">E22/E$7</f>
        <v>1.6774604522773118E-2</v>
      </c>
      <c r="G22" s="298">
        <f ca="1">_xll.PALO.DATAC("jedoxtest/EU_PM_CUBE02","EUPM_Mittel2_Cube",Datenstand,"Alle Beteiligungen","Alle Koordinatoren","Alle Unternehmensgrößen","-2","Alle Organisationstypen",28,"Alle Expertevaluierungsstatus","-2","-2",$B22,"-2","Alle","-2","foerderung")/1000000</f>
        <v>642.60214243000098</v>
      </c>
      <c r="H22" s="284">
        <f ca="1">G22/G$7</f>
        <v>1.2454244690371121E-2</v>
      </c>
      <c r="I22" s="125">
        <f ca="1">_xll.PALO.DATAC("jedoxtest/EU_PM_CUBE02","EUPM_Mittel2_Cube",Datenstand,"Alle Beteiligungen","Alle Koordinatoren","Alle Unternehmensgrößen","-2","Alle Organisationstypen",28,"Alle Expertevaluierungsstatus","-2","-2",$B22,"-2","Alle","-2","anzahl_koordinatoren")</f>
        <v>328</v>
      </c>
      <c r="J22" s="284">
        <f ca="1">I22/I$7</f>
        <v>1.6287615453371734E-2</v>
      </c>
      <c r="K22" s="125">
        <f ca="1">_xll.PALO.DATAC("jedoxtest/EU_PM_CUBE02","EUPM_Mittel2_Cube",Datenstand,"Alle Beteiligungen","Alle Koordinatoren","Alle Unternehmensgrößen","-2","Alle Organisationstypen",5,"Alle Expertevaluierungsstatus","-2","-2",$B22,"-2","Alle","-2","anzahl_beteiligungen")</f>
        <v>10246</v>
      </c>
      <c r="L22" s="284">
        <f ca="1">_xll.PALO.DATAC("jedoxtest/EU_PM_CUBE02","EUPM_Mittel2_Cube",Datenstand,"Alle Beteiligungen","Alle Koordinatoren","Alle Unternehmensgrößen","-2","Alle Organisationstypen",14,"Alle Expertevaluierungsstatus","-2","-2",$B22,"-2","Alle","-2","anzahl_beteiligungen")/_xll.PALO.DATAC("jedoxtest/EU_PM_CUBE02","EUPM_Mittel2_Cube",Datenstand,"Alle Beteiligungen","Alle Koordinatoren","Alle Unternehmensgrößen","-2","Alle Organisationstypen",5,"Alle Expertevaluierungsstatus","-2","-2",$B22,"-2","Alle","-2","anzahl_beteiligungen")</f>
        <v>0.17763029474917041</v>
      </c>
      <c r="N22" s="352">
        <f t="shared" ca="1" si="0"/>
        <v>10</v>
      </c>
    </row>
    <row r="23" spans="2:14" ht="15" customHeight="1">
      <c r="B23" s="240">
        <v>1573</v>
      </c>
      <c r="C23" s="296" t="str">
        <f ca="1">_xll.PALO.DATAC("jedoxtest/EU_PM_CUBE02","#_Staatengruppen_und_NUTS","Langbezeichnung",B23)</f>
        <v>Rumänien</v>
      </c>
      <c r="D23" s="297"/>
      <c r="E23" s="125">
        <f ca="1">_xll.PALO.DATAC("jedoxtest/EU_PM_CUBE02","EUPM_Mittel2_Cube",Datenstand,"Alle Beteiligungen","Alle Koordinatoren","Alle Unternehmensgrößen","-2","Alle Organisationstypen",28,"Alle Expertevaluierungsstatus","-2","-2",$B23,"-2","Alle","-2","anzahl_beteiligungen")</f>
        <v>1428</v>
      </c>
      <c r="F23" s="284">
        <f ca="1">E23/E$7</f>
        <v>1.2634037583607602E-2</v>
      </c>
      <c r="G23" s="298">
        <f ca="1">_xll.PALO.DATAC("jedoxtest/EU_PM_CUBE02","EUPM_Mittel2_Cube",Datenstand,"Alle Beteiligungen","Alle Koordinatoren","Alle Unternehmensgrößen","-2","Alle Organisationstypen",28,"Alle Expertevaluierungsstatus","-2","-2",$B23,"-2","Alle","-2","foerderung")/1000000</f>
        <v>364.08515879999999</v>
      </c>
      <c r="H23" s="284">
        <f ca="1">G23/G$7</f>
        <v>7.0563189202590649E-3</v>
      </c>
      <c r="I23" s="125">
        <f ca="1">_xll.PALO.DATAC("jedoxtest/EU_PM_CUBE02","EUPM_Mittel2_Cube",Datenstand,"Alle Beteiligungen","Alle Koordinatoren","Alle Unternehmensgrößen","-2","Alle Organisationstypen",28,"Alle Expertevaluierungsstatus","-2","-2",$B23,"-2","Alle","-2","anzahl_koordinatoren")</f>
        <v>79</v>
      </c>
      <c r="J23" s="284">
        <f ca="1">I23/I$7</f>
        <v>3.9229317707816071E-3</v>
      </c>
      <c r="K23" s="125">
        <f ca="1">_xll.PALO.DATAC("jedoxtest/EU_PM_CUBE02","EUPM_Mittel2_Cube",Datenstand,"Alle Beteiligungen","Alle Koordinatoren","Alle Unternehmensgrößen","-2","Alle Organisationstypen",5,"Alle Expertevaluierungsstatus","-2","-2",$B23,"-2","Alle","-2","anzahl_beteiligungen")</f>
        <v>10295</v>
      </c>
      <c r="L23" s="284">
        <f ca="1">_xll.PALO.DATAC("jedoxtest/EU_PM_CUBE02","EUPM_Mittel2_Cube",Datenstand,"Alle Beteiligungen","Alle Koordinatoren","Alle Unternehmensgrößen","-2","Alle Organisationstypen",14,"Alle Expertevaluierungsstatus","-2","-2",$B23,"-2","Alle","-2","anzahl_beteiligungen")/_xll.PALO.DATAC("jedoxtest/EU_PM_CUBE02","EUPM_Mittel2_Cube",Datenstand,"Alle Beteiligungen","Alle Koordinatoren","Alle Unternehmensgrößen","-2","Alle Organisationstypen",5,"Alle Expertevaluierungsstatus","-2","-2",$B23,"-2","Alle","-2","anzahl_beteiligungen")</f>
        <v>0.14473045167557066</v>
      </c>
      <c r="N23" s="352">
        <f t="shared" ca="1" si="0"/>
        <v>26</v>
      </c>
    </row>
    <row r="24" spans="2:14" ht="15" customHeight="1">
      <c r="B24" s="240">
        <v>1667</v>
      </c>
      <c r="C24" s="296" t="str">
        <f ca="1">_xll.PALO.DATAC("jedoxtest/EU_PM_CUBE02","#_Staatengruppen_und_NUTS","Langbezeichnung",B24)</f>
        <v>Slowenien</v>
      </c>
      <c r="D24" s="297"/>
      <c r="E24" s="125">
        <f ca="1">_xll.PALO.DATAC("jedoxtest/EU_PM_CUBE02","EUPM_Mittel2_Cube",Datenstand,"Alle Beteiligungen","Alle Koordinatoren","Alle Unternehmensgrößen","-2","Alle Organisationstypen",28,"Alle Expertevaluierungsstatus","-2","-2",$B24,"-2","Alle","-2","anzahl_beteiligungen")</f>
        <v>1417</v>
      </c>
      <c r="F24" s="284">
        <f ca="1">E24/E$7</f>
        <v>1.2536716565806703E-2</v>
      </c>
      <c r="G24" s="298">
        <f ca="1">_xll.PALO.DATAC("jedoxtest/EU_PM_CUBE02","EUPM_Mittel2_Cube",Datenstand,"Alle Beteiligungen","Alle Koordinatoren","Alle Unternehmensgrößen","-2","Alle Organisationstypen",28,"Alle Expertevaluierungsstatus","-2","-2",$B24,"-2","Alle","-2","foerderung")/1000000</f>
        <v>447.14475606999997</v>
      </c>
      <c r="H24" s="284">
        <f ca="1">G24/G$7</f>
        <v>8.6660934292149602E-3</v>
      </c>
      <c r="I24" s="125">
        <f ca="1">_xll.PALO.DATAC("jedoxtest/EU_PM_CUBE02","EUPM_Mittel2_Cube",Datenstand,"Alle Beteiligungen","Alle Koordinatoren","Alle Unternehmensgrößen","-2","Alle Organisationstypen",28,"Alle Expertevaluierungsstatus","-2","-2",$B24,"-2","Alle","-2","anzahl_koordinatoren")</f>
        <v>153</v>
      </c>
      <c r="J24" s="284">
        <f ca="1">I24/I$7</f>
        <v>7.5975767206276695E-3</v>
      </c>
      <c r="K24" s="125">
        <f ca="1">_xll.PALO.DATAC("jedoxtest/EU_PM_CUBE02","EUPM_Mittel2_Cube",Datenstand,"Alle Beteiligungen","Alle Koordinatoren","Alle Unternehmensgrößen","-2","Alle Organisationstypen",5,"Alle Expertevaluierungsstatus","-2","-2",$B24,"-2","Alle","-2","anzahl_beteiligungen")</f>
        <v>7930</v>
      </c>
      <c r="L24" s="284">
        <f ca="1">_xll.PALO.DATAC("jedoxtest/EU_PM_CUBE02","EUPM_Mittel2_Cube",Datenstand,"Alle Beteiligungen","Alle Koordinatoren","Alle Unternehmensgrößen","-2","Alle Organisationstypen",14,"Alle Expertevaluierungsstatus","-2","-2",$B24,"-2","Alle","-2","anzahl_beteiligungen")/_xll.PALO.DATAC("jedoxtest/EU_PM_CUBE02","EUPM_Mittel2_Cube",Datenstand,"Alle Beteiligungen","Alle Koordinatoren","Alle Unternehmensgrößen","-2","Alle Organisationstypen",5,"Alle Expertevaluierungsstatus","-2","-2",$B24,"-2","Alle","-2","anzahl_beteiligungen")</f>
        <v>0.17641866330390921</v>
      </c>
      <c r="N24" s="352">
        <f t="shared" ca="1" si="0"/>
        <v>12</v>
      </c>
    </row>
    <row r="25" spans="2:14" ht="15" customHeight="1">
      <c r="B25" s="240">
        <v>189</v>
      </c>
      <c r="C25" s="296" t="str">
        <f ca="1">_xll.PALO.DATAC("jedoxtest/EU_PM_CUBE02","#_Staatengruppen_und_NUTS","Langbezeichnung",B25)</f>
        <v>Zypern</v>
      </c>
      <c r="D25" s="297"/>
      <c r="E25" s="125">
        <f ca="1">_xll.PALO.DATAC("jedoxtest/EU_PM_CUBE02","EUPM_Mittel2_Cube",Datenstand,"Alle Beteiligungen","Alle Koordinatoren","Alle Unternehmensgrößen","-2","Alle Organisationstypen",28,"Alle Expertevaluierungsstatus","-2","-2",$B25,"-2","Alle","-2","anzahl_beteiligungen")</f>
        <v>1204</v>
      </c>
      <c r="F25" s="284">
        <f ca="1">E25/E$7</f>
        <v>1.0652227766571116E-2</v>
      </c>
      <c r="G25" s="298">
        <f ca="1">_xll.PALO.DATAC("jedoxtest/EU_PM_CUBE02","EUPM_Mittel2_Cube",Datenstand,"Alle Beteiligungen","Alle Koordinatoren","Alle Unternehmensgrößen","-2","Alle Organisationstypen",28,"Alle Expertevaluierungsstatus","-2","-2",$B25,"-2","Alle","-2","foerderung")/1000000</f>
        <v>386.84255738999997</v>
      </c>
      <c r="H25" s="284">
        <f ca="1">G25/G$7</f>
        <v>7.4973790908404916E-3</v>
      </c>
      <c r="I25" s="125">
        <f ca="1">_xll.PALO.DATAC("jedoxtest/EU_PM_CUBE02","EUPM_Mittel2_Cube",Datenstand,"Alle Beteiligungen","Alle Koordinatoren","Alle Unternehmensgrößen","-2","Alle Organisationstypen",28,"Alle Expertevaluierungsstatus","-2","-2",$B25,"-2","Alle","-2","anzahl_koordinatoren")</f>
        <v>130</v>
      </c>
      <c r="J25" s="284">
        <f ca="1">I25/I$7</f>
        <v>6.4554573443241633E-3</v>
      </c>
      <c r="K25" s="125">
        <f ca="1">_xll.PALO.DATAC("jedoxtest/EU_PM_CUBE02","EUPM_Mittel2_Cube",Datenstand,"Alle Beteiligungen","Alle Koordinatoren","Alle Unternehmensgrößen","-2","Alle Organisationstypen",5,"Alle Expertevaluierungsstatus","-2","-2",$B25,"-2","Alle","-2","anzahl_beteiligungen")</f>
        <v>8469</v>
      </c>
      <c r="L25" s="284">
        <f ca="1">_xll.PALO.DATAC("jedoxtest/EU_PM_CUBE02","EUPM_Mittel2_Cube",Datenstand,"Alle Beteiligungen","Alle Koordinatoren","Alle Unternehmensgrößen","-2","Alle Organisationstypen",14,"Alle Expertevaluierungsstatus","-2","-2",$B25,"-2","Alle","-2","anzahl_beteiligungen")/_xll.PALO.DATAC("jedoxtest/EU_PM_CUBE02","EUPM_Mittel2_Cube",Datenstand,"Alle Beteiligungen","Alle Koordinatoren","Alle Unternehmensgrößen","-2","Alle Organisationstypen",5,"Alle Expertevaluierungsstatus","-2","-2",$B25,"-2","Alle","-2","anzahl_beteiligungen")</f>
        <v>0.14440902113590742</v>
      </c>
      <c r="N25" s="352">
        <f t="shared" ca="1" si="0"/>
        <v>27</v>
      </c>
    </row>
    <row r="26" spans="2:14" ht="15" customHeight="1">
      <c r="B26" s="240">
        <v>1100</v>
      </c>
      <c r="C26" s="296" t="str">
        <f ca="1">_xll.PALO.DATAC("jedoxtest/EU_PM_CUBE02","#_Staatengruppen_und_NUTS","Langbezeichnung",B26)</f>
        <v>Ungarn</v>
      </c>
      <c r="D26" s="297"/>
      <c r="E26" s="125">
        <f ca="1">_xll.PALO.DATAC("jedoxtest/EU_PM_CUBE02","EUPM_Mittel2_Cube",Datenstand,"Alle Beteiligungen","Alle Koordinatoren","Alle Unternehmensgrößen","-2","Alle Organisationstypen",28,"Alle Expertevaluierungsstatus","-2","-2",$B26,"-2","Alle","-2","anzahl_beteiligungen")</f>
        <v>1089</v>
      </c>
      <c r="F26" s="284">
        <f ca="1">E26/E$7</f>
        <v>9.6347807622889897E-3</v>
      </c>
      <c r="G26" s="298">
        <f ca="1">_xll.PALO.DATAC("jedoxtest/EU_PM_CUBE02","EUPM_Mittel2_Cube",Datenstand,"Alle Beteiligungen","Alle Koordinatoren","Alle Unternehmensgrößen","-2","Alle Organisationstypen",28,"Alle Expertevaluierungsstatus","-2","-2",$B26,"-2","Alle","-2","foerderung")/1000000</f>
        <v>258.75767427</v>
      </c>
      <c r="H26" s="284">
        <f ca="1">G26/G$7</f>
        <v>5.0149714389117065E-3</v>
      </c>
      <c r="I26" s="125">
        <f ca="1">_xll.PALO.DATAC("jedoxtest/EU_PM_CUBE02","EUPM_Mittel2_Cube",Datenstand,"Alle Beteiligungen","Alle Koordinatoren","Alle Unternehmensgrößen","-2","Alle Organisationstypen",28,"Alle Expertevaluierungsstatus","-2","-2",$B26,"-2","Alle","-2","anzahl_koordinatoren")</f>
        <v>91</v>
      </c>
      <c r="J26" s="284">
        <f ca="1">I26/I$7</f>
        <v>4.5188201410269139E-3</v>
      </c>
      <c r="K26" s="125">
        <f ca="1">_xll.PALO.DATAC("jedoxtest/EU_PM_CUBE02","EUPM_Mittel2_Cube",Datenstand,"Alle Beteiligungen","Alle Koordinatoren","Alle Unternehmensgrößen","-2","Alle Organisationstypen",5,"Alle Expertevaluierungsstatus","-2","-2",$B26,"-2","Alle","-2","anzahl_beteiligungen")</f>
        <v>6123</v>
      </c>
      <c r="L26" s="284">
        <f ca="1">_xll.PALO.DATAC("jedoxtest/EU_PM_CUBE02","EUPM_Mittel2_Cube",Datenstand,"Alle Beteiligungen","Alle Koordinatoren","Alle Unternehmensgrößen","-2","Alle Organisationstypen",14,"Alle Expertevaluierungsstatus","-2","-2",$B26,"-2","Alle","-2","anzahl_beteiligungen")/_xll.PALO.DATAC("jedoxtest/EU_PM_CUBE02","EUPM_Mittel2_Cube",Datenstand,"Alle Beteiligungen","Alle Koordinatoren","Alle Unternehmensgrößen","-2","Alle Organisationstypen",5,"Alle Expertevaluierungsstatus","-2","-2",$B26,"-2","Alle","-2","anzahl_beteiligungen")</f>
        <v>0.17295443410093092</v>
      </c>
      <c r="N26" s="352">
        <f t="shared" ca="1" si="0"/>
        <v>15</v>
      </c>
    </row>
    <row r="27" spans="2:14" ht="15" customHeight="1">
      <c r="B27" s="240">
        <v>732</v>
      </c>
      <c r="C27" s="296" t="str">
        <f ca="1">_xll.PALO.DATAC("jedoxtest/EU_PM_CUBE02","#_Staatengruppen_und_NUTS","Langbezeichnung",B27)</f>
        <v>Estland</v>
      </c>
      <c r="D27" s="297"/>
      <c r="E27" s="125">
        <f ca="1">_xll.PALO.DATAC("jedoxtest/EU_PM_CUBE02","EUPM_Mittel2_Cube",Datenstand,"Alle Beteiligungen","Alle Koordinatoren","Alle Unternehmensgrößen","-2","Alle Organisationstypen",28,"Alle Expertevaluierungsstatus","-2","-2",$B27,"-2","Alle","-2","anzahl_beteiligungen")</f>
        <v>905</v>
      </c>
      <c r="F27" s="284">
        <f ca="1">E27/E$7</f>
        <v>8.0068655554375902E-3</v>
      </c>
      <c r="G27" s="298">
        <f ca="1">_xll.PALO.DATAC("jedoxtest/EU_PM_CUBE02","EUPM_Mittel2_Cube",Datenstand,"Alle Beteiligungen","Alle Koordinatoren","Alle Unternehmensgrößen","-2","Alle Organisationstypen",28,"Alle Expertevaluierungsstatus","-2","-2",$B27,"-2","Alle","-2","foerderung")/1000000</f>
        <v>326.83728947000003</v>
      </c>
      <c r="H27" s="284">
        <f ca="1">G27/G$7</f>
        <v>6.3344195548498969E-3</v>
      </c>
      <c r="I27" s="125">
        <f ca="1">_xll.PALO.DATAC("jedoxtest/EU_PM_CUBE02","EUPM_Mittel2_Cube",Datenstand,"Alle Beteiligungen","Alle Koordinatoren","Alle Unternehmensgrößen","-2","Alle Organisationstypen",28,"Alle Expertevaluierungsstatus","-2","-2",$B27,"-2","Alle","-2","anzahl_koordinatoren")</f>
        <v>112</v>
      </c>
      <c r="J27" s="284">
        <f ca="1">I27/I$7</f>
        <v>5.5616247889562018E-3</v>
      </c>
      <c r="K27" s="125">
        <f ca="1">_xll.PALO.DATAC("jedoxtest/EU_PM_CUBE02","EUPM_Mittel2_Cube",Datenstand,"Alle Beteiligungen","Alle Koordinatoren","Alle Unternehmensgrößen","-2","Alle Organisationstypen",5,"Alle Expertevaluierungsstatus","-2","-2",$B27,"-2","Alle","-2","anzahl_beteiligungen")</f>
        <v>5583</v>
      </c>
      <c r="L27" s="284">
        <f ca="1">_xll.PALO.DATAC("jedoxtest/EU_PM_CUBE02","EUPM_Mittel2_Cube",Datenstand,"Alle Beteiligungen","Alle Koordinatoren","Alle Unternehmensgrößen","-2","Alle Organisationstypen",14,"Alle Expertevaluierungsstatus","-2","-2",$B27,"-2","Alle","-2","anzahl_beteiligungen")/_xll.PALO.DATAC("jedoxtest/EU_PM_CUBE02","EUPM_Mittel2_Cube",Datenstand,"Alle Beteiligungen","Alle Koordinatoren","Alle Unternehmensgrößen","-2","Alle Organisationstypen",5,"Alle Expertevaluierungsstatus","-2","-2",$B27,"-2","Alle","-2","anzahl_beteiligungen")</f>
        <v>0.16818914562063406</v>
      </c>
      <c r="N27" s="352">
        <f t="shared" ca="1" si="0"/>
        <v>16</v>
      </c>
    </row>
    <row r="28" spans="2:14" ht="15" customHeight="1">
      <c r="B28" s="240">
        <v>114</v>
      </c>
      <c r="C28" s="296" t="str">
        <f ca="1">_xll.PALO.DATAC("jedoxtest/EU_PM_CUBE02","#_Staatengruppen_und_NUTS","Langbezeichnung",B28)</f>
        <v>Bulgarien</v>
      </c>
      <c r="D28" s="297"/>
      <c r="E28" s="125">
        <f ca="1">_xll.PALO.DATAC("jedoxtest/EU_PM_CUBE02","EUPM_Mittel2_Cube",Datenstand,"Alle Beteiligungen","Alle Koordinatoren","Alle Unternehmensgrößen","-2","Alle Organisationstypen",28,"Alle Expertevaluierungsstatus","-2","-2",$B28,"-2","Alle","-2","anzahl_beteiligungen")</f>
        <v>804</v>
      </c>
      <c r="F28" s="284">
        <f ca="1">E28/E$7</f>
        <v>7.1132816647202467E-3</v>
      </c>
      <c r="G28" s="298">
        <f ca="1">_xll.PALO.DATAC("jedoxtest/EU_PM_CUBE02","EUPM_Mittel2_Cube",Datenstand,"Alle Beteiligungen","Alle Koordinatoren","Alle Unternehmensgrößen","-2","Alle Organisationstypen",28,"Alle Expertevaluierungsstatus","-2","-2",$B28,"-2","Alle","-2","foerderung")/1000000</f>
        <v>200.01369928</v>
      </c>
      <c r="H28" s="284">
        <f ca="1">G28/G$7</f>
        <v>3.8764569673540644E-3</v>
      </c>
      <c r="I28" s="125">
        <f ca="1">_xll.PALO.DATAC("jedoxtest/EU_PM_CUBE02","EUPM_Mittel2_Cube",Datenstand,"Alle Beteiligungen","Alle Koordinatoren","Alle Unternehmensgrößen","-2","Alle Organisationstypen",28,"Alle Expertevaluierungsstatus","-2","-2",$B28,"-2","Alle","-2","anzahl_koordinatoren")</f>
        <v>42</v>
      </c>
      <c r="J28" s="284">
        <f ca="1">I28/I$7</f>
        <v>2.0856092958585759E-3</v>
      </c>
      <c r="K28" s="125">
        <f ca="1">_xll.PALO.DATAC("jedoxtest/EU_PM_CUBE02","EUPM_Mittel2_Cube",Datenstand,"Alle Beteiligungen","Alle Koordinatoren","Alle Unternehmensgrößen","-2","Alle Organisationstypen",5,"Alle Expertevaluierungsstatus","-2","-2",$B28,"-2","Alle","-2","anzahl_beteiligungen")</f>
        <v>5115</v>
      </c>
      <c r="L28" s="284">
        <f ca="1">_xll.PALO.DATAC("jedoxtest/EU_PM_CUBE02","EUPM_Mittel2_Cube",Datenstand,"Alle Beteiligungen","Alle Koordinatoren","Alle Unternehmensgrößen","-2","Alle Organisationstypen",14,"Alle Expertevaluierungsstatus","-2","-2",$B28,"-2","Alle","-2","anzahl_beteiligungen")/_xll.PALO.DATAC("jedoxtest/EU_PM_CUBE02","EUPM_Mittel2_Cube",Datenstand,"Alle Beteiligungen","Alle Koordinatoren","Alle Unternehmensgrößen","-2","Alle Organisationstypen",5,"Alle Expertevaluierungsstatus","-2","-2",$B28,"-2","Alle","-2","anzahl_beteiligungen")</f>
        <v>0.15777126099706745</v>
      </c>
      <c r="N28" s="352">
        <f t="shared" ca="1" si="0"/>
        <v>23</v>
      </c>
    </row>
    <row r="29" spans="2:14" ht="15" customHeight="1">
      <c r="B29" s="240">
        <v>1074</v>
      </c>
      <c r="C29" s="296" t="str">
        <f ca="1">_xll.PALO.DATAC("jedoxtest/EU_PM_CUBE02","#_Staatengruppen_und_NUTS","Langbezeichnung",B29)</f>
        <v>Kroatien</v>
      </c>
      <c r="D29" s="297"/>
      <c r="E29" s="125">
        <f ca="1">_xll.PALO.DATAC("jedoxtest/EU_PM_CUBE02","EUPM_Mittel2_Cube",Datenstand,"Alle Beteiligungen","Alle Koordinatoren","Alle Unternehmensgrößen","-2","Alle Organisationstypen",28,"Alle Expertevaluierungsstatus","-2","-2",$B29,"-2","Alle","-2","anzahl_beteiligungen")</f>
        <v>753</v>
      </c>
      <c r="F29" s="284">
        <f ca="1">E29/E$7</f>
        <v>6.6620660367342609E-3</v>
      </c>
      <c r="G29" s="298">
        <f ca="1">_xll.PALO.DATAC("jedoxtest/EU_PM_CUBE02","EUPM_Mittel2_Cube",Datenstand,"Alle Beteiligungen","Alle Koordinatoren","Alle Unternehmensgrößen","-2","Alle Organisationstypen",28,"Alle Expertevaluierungsstatus","-2","-2",$B29,"-2","Alle","-2","foerderung")/1000000</f>
        <v>179.55004914</v>
      </c>
      <c r="H29" s="284">
        <f ca="1">G29/G$7</f>
        <v>3.4798518375641816E-3</v>
      </c>
      <c r="I29" s="125">
        <f ca="1">_xll.PALO.DATAC("jedoxtest/EU_PM_CUBE02","EUPM_Mittel2_Cube",Datenstand,"Alle Beteiligungen","Alle Koordinatoren","Alle Unternehmensgrößen","-2","Alle Organisationstypen",28,"Alle Expertevaluierungsstatus","-2","-2",$B29,"-2","Alle","-2","anzahl_koordinatoren")</f>
        <v>46</v>
      </c>
      <c r="J29" s="284">
        <f ca="1">I29/I$7</f>
        <v>2.2842387526070115E-3</v>
      </c>
      <c r="K29" s="125">
        <f ca="1">_xll.PALO.DATAC("jedoxtest/EU_PM_CUBE02","EUPM_Mittel2_Cube",Datenstand,"Alle Beteiligungen","Alle Koordinatoren","Alle Unternehmensgrößen","-2","Alle Organisationstypen",5,"Alle Expertevaluierungsstatus","-2","-2",$B29,"-2","Alle","-2","anzahl_beteiligungen")</f>
        <v>4625</v>
      </c>
      <c r="L29" s="284">
        <f ca="1">_xll.PALO.DATAC("jedoxtest/EU_PM_CUBE02","EUPM_Mittel2_Cube",Datenstand,"Alle Beteiligungen","Alle Koordinatoren","Alle Unternehmensgrößen","-2","Alle Organisationstypen",14,"Alle Expertevaluierungsstatus","-2","-2",$B29,"-2","Alle","-2","anzahl_beteiligungen")/_xll.PALO.DATAC("jedoxtest/EU_PM_CUBE02","EUPM_Mittel2_Cube",Datenstand,"Alle Beteiligungen","Alle Koordinatoren","Alle Unternehmensgrößen","-2","Alle Organisationstypen",5,"Alle Expertevaluierungsstatus","-2","-2",$B29,"-2","Alle","-2","anzahl_beteiligungen")</f>
        <v>0.15827027027027027</v>
      </c>
      <c r="N29" s="352">
        <f t="shared" ca="1" si="0"/>
        <v>22</v>
      </c>
    </row>
    <row r="30" spans="2:14" ht="15" customHeight="1">
      <c r="B30" s="240">
        <v>1295</v>
      </c>
      <c r="C30" s="296" t="str">
        <f ca="1">_xll.PALO.DATAC("jedoxtest/EU_PM_CUBE02","#_Staatengruppen_und_NUTS","Langbezeichnung",B30)</f>
        <v>Litauen</v>
      </c>
      <c r="D30" s="297"/>
      <c r="E30" s="125">
        <f ca="1">_xll.PALO.DATAC("jedoxtest/EU_PM_CUBE02","EUPM_Mittel2_Cube",Datenstand,"Alle Beteiligungen","Alle Koordinatoren","Alle Unternehmensgrößen","-2","Alle Organisationstypen",28,"Alle Expertevaluierungsstatus","-2","-2",$B30,"-2","Alle","-2","anzahl_beteiligungen")</f>
        <v>732</v>
      </c>
      <c r="F30" s="284">
        <f ca="1">E30/E$7</f>
        <v>6.4762713663870895E-3</v>
      </c>
      <c r="G30" s="298">
        <f ca="1">_xll.PALO.DATAC("jedoxtest/EU_PM_CUBE02","EUPM_Mittel2_Cube",Datenstand,"Alle Beteiligungen","Alle Koordinatoren","Alle Unternehmensgrößen","-2","Alle Organisationstypen",28,"Alle Expertevaluierungsstatus","-2","-2",$B30,"-2","Alle","-2","foerderung")/1000000</f>
        <v>207.43832925000001</v>
      </c>
      <c r="H30" s="284">
        <f ca="1">G30/G$7</f>
        <v>4.0203534038523534E-3</v>
      </c>
      <c r="I30" s="125">
        <f ca="1">_xll.PALO.DATAC("jedoxtest/EU_PM_CUBE02","EUPM_Mittel2_Cube",Datenstand,"Alle Beteiligungen","Alle Koordinatoren","Alle Unternehmensgrößen","-2","Alle Organisationstypen",28,"Alle Expertevaluierungsstatus","-2","-2",$B30,"-2","Alle","-2","anzahl_koordinatoren")</f>
        <v>75</v>
      </c>
      <c r="J30" s="284">
        <f ca="1">I30/I$7</f>
        <v>3.7243023140331711E-3</v>
      </c>
      <c r="K30" s="125">
        <f ca="1">_xll.PALO.DATAC("jedoxtest/EU_PM_CUBE02","EUPM_Mittel2_Cube",Datenstand,"Alle Beteiligungen","Alle Koordinatoren","Alle Unternehmensgrößen","-2","Alle Organisationstypen",5,"Alle Expertevaluierungsstatus","-2","-2",$B30,"-2","Alle","-2","anzahl_beteiligungen")</f>
        <v>4526</v>
      </c>
      <c r="L30" s="284">
        <f ca="1">_xll.PALO.DATAC("jedoxtest/EU_PM_CUBE02","EUPM_Mittel2_Cube",Datenstand,"Alle Beteiligungen","Alle Koordinatoren","Alle Unternehmensgrößen","-2","Alle Organisationstypen",14,"Alle Expertevaluierungsstatus","-2","-2",$B30,"-2","Alle","-2","anzahl_beteiligungen")/_xll.PALO.DATAC("jedoxtest/EU_PM_CUBE02","EUPM_Mittel2_Cube",Datenstand,"Alle Beteiligungen","Alle Koordinatoren","Alle Unternehmensgrößen","-2","Alle Organisationstypen",5,"Alle Expertevaluierungsstatus","-2","-2",$B30,"-2","Alle","-2","anzahl_beteiligungen")</f>
        <v>0.16349977905435262</v>
      </c>
      <c r="N30" s="352">
        <f t="shared" ca="1" si="0"/>
        <v>18</v>
      </c>
    </row>
    <row r="31" spans="2:14" ht="15" customHeight="1">
      <c r="B31" s="240">
        <v>1311</v>
      </c>
      <c r="C31" s="296" t="str">
        <f ca="1">_xll.PALO.DATAC("jedoxtest/EU_PM_CUBE02","#_Staatengruppen_und_NUTS","Langbezeichnung",B31)</f>
        <v>Luxemburg</v>
      </c>
      <c r="D31" s="297"/>
      <c r="E31" s="125">
        <f ca="1">_xll.PALO.DATAC("jedoxtest/EU_PM_CUBE02","EUPM_Mittel2_Cube",Datenstand,"Alle Beteiligungen","Alle Koordinatoren","Alle Unternehmensgrößen","-2","Alle Organisationstypen",28,"Alle Expertevaluierungsstatus","-2","-2",$B31,"-2","Alle","-2","anzahl_beteiligungen")</f>
        <v>633</v>
      </c>
      <c r="F31" s="284">
        <f ca="1">E31/E$7</f>
        <v>5.6003822061790002E-3</v>
      </c>
      <c r="G31" s="298">
        <f ca="1">_xll.PALO.DATAC("jedoxtest/EU_PM_CUBE02","EUPM_Mittel2_Cube",Datenstand,"Alle Beteiligungen","Alle Koordinatoren","Alle Unternehmensgrößen","-2","Alle Organisationstypen",28,"Alle Expertevaluierungsstatus","-2","-2",$B31,"-2","Alle","-2","foerderung")/1000000</f>
        <v>272.31469733</v>
      </c>
      <c r="H31" s="284">
        <f ca="1">G31/G$7</f>
        <v>5.2777195241013484E-3</v>
      </c>
      <c r="I31" s="125">
        <f ca="1">_xll.PALO.DATAC("jedoxtest/EU_PM_CUBE02","EUPM_Mittel2_Cube",Datenstand,"Alle Beteiligungen","Alle Koordinatoren","Alle Unternehmensgrößen","-2","Alle Organisationstypen",28,"Alle Expertevaluierungsstatus","-2","-2",$B31,"-2","Alle","-2","anzahl_koordinatoren")</f>
        <v>115</v>
      </c>
      <c r="J31" s="284">
        <f ca="1">I31/I$7</f>
        <v>5.7105968815175292E-3</v>
      </c>
      <c r="K31" s="125">
        <f ca="1">_xll.PALO.DATAC("jedoxtest/EU_PM_CUBE02","EUPM_Mittel2_Cube",Datenstand,"Alle Beteiligungen","Alle Koordinatoren","Alle Unternehmensgrößen","-2","Alle Organisationstypen",5,"Alle Expertevaluierungsstatus","-2","-2",$B31,"-2","Alle","-2","anzahl_beteiligungen")</f>
        <v>3622</v>
      </c>
      <c r="L31" s="284">
        <f ca="1">_xll.PALO.DATAC("jedoxtest/EU_PM_CUBE02","EUPM_Mittel2_Cube",Datenstand,"Alle Beteiligungen","Alle Koordinatoren","Alle Unternehmensgrößen","-2","Alle Organisationstypen",14,"Alle Expertevaluierungsstatus","-2","-2",$B31,"-2","Alle","-2","anzahl_beteiligungen")/_xll.PALO.DATAC("jedoxtest/EU_PM_CUBE02","EUPM_Mittel2_Cube",Datenstand,"Alle Beteiligungen","Alle Koordinatoren","Alle Unternehmensgrößen","-2","Alle Organisationstypen",5,"Alle Expertevaluierungsstatus","-2","-2",$B31,"-2","Alle","-2","anzahl_beteiligungen")</f>
        <v>0.1755935946990613</v>
      </c>
      <c r="N31" s="352">
        <f t="shared" ca="1" si="0"/>
        <v>13</v>
      </c>
    </row>
    <row r="32" spans="2:14" ht="15" customHeight="1">
      <c r="B32" s="240">
        <v>1686</v>
      </c>
      <c r="C32" s="296" t="str">
        <f ca="1">_xll.PALO.DATAC("jedoxtest/EU_PM_CUBE02","#_Staatengruppen_und_NUTS","Langbezeichnung",B32)</f>
        <v>Slowakei</v>
      </c>
      <c r="D32" s="297"/>
      <c r="E32" s="125">
        <f ca="1">_xll.PALO.DATAC("jedoxtest/EU_PM_CUBE02","EUPM_Mittel2_Cube",Datenstand,"Alle Beteiligungen","Alle Koordinatoren","Alle Unternehmensgrößen","-2","Alle Organisationstypen",28,"Alle Expertevaluierungsstatus","-2","-2",$B32,"-2","Alle","-2","anzahl_beteiligungen")</f>
        <v>591</v>
      </c>
      <c r="F32" s="284">
        <f ca="1">E32/E$7</f>
        <v>5.2287928654846582E-3</v>
      </c>
      <c r="G32" s="298">
        <f ca="1">_xll.PALO.DATAC("jedoxtest/EU_PM_CUBE02","EUPM_Mittel2_Cube",Datenstand,"Alle Beteiligungen","Alle Koordinatoren","Alle Unternehmensgrößen","-2","Alle Organisationstypen",28,"Alle Expertevaluierungsstatus","-2","-2",$B32,"-2","Alle","-2","foerderung")/1000000</f>
        <v>157.71800894</v>
      </c>
      <c r="H32" s="284">
        <f ca="1">G32/G$7</f>
        <v>3.0567259984366889E-3</v>
      </c>
      <c r="I32" s="125">
        <f ca="1">_xll.PALO.DATAC("jedoxtest/EU_PM_CUBE02","EUPM_Mittel2_Cube",Datenstand,"Alle Beteiligungen","Alle Koordinatoren","Alle Unternehmensgrößen","-2","Alle Organisationstypen",28,"Alle Expertevaluierungsstatus","-2","-2",$B32,"-2","Alle","-2","anzahl_koordinatoren")</f>
        <v>41</v>
      </c>
      <c r="J32" s="284">
        <f ca="1">I32/I$7</f>
        <v>2.0359519316714668E-3</v>
      </c>
      <c r="K32" s="125">
        <f ca="1">_xll.PALO.DATAC("jedoxtest/EU_PM_CUBE02","EUPM_Mittel2_Cube",Datenstand,"Alle Beteiligungen","Alle Koordinatoren","Alle Unternehmensgrößen","-2","Alle Organisationstypen",5,"Alle Expertevaluierungsstatus","-2","-2",$B32,"-2","Alle","-2","anzahl_beteiligungen")</f>
        <v>3326</v>
      </c>
      <c r="L32" s="284">
        <f ca="1">_xll.PALO.DATAC("jedoxtest/EU_PM_CUBE02","EUPM_Mittel2_Cube",Datenstand,"Alle Beteiligungen","Alle Koordinatoren","Alle Unternehmensgrößen","-2","Alle Organisationstypen",14,"Alle Expertevaluierungsstatus","-2","-2",$B32,"-2","Alle","-2","anzahl_beteiligungen")/_xll.PALO.DATAC("jedoxtest/EU_PM_CUBE02","EUPM_Mittel2_Cube",Datenstand,"Alle Beteiligungen","Alle Koordinatoren","Alle Unternehmensgrößen","-2","Alle Organisationstypen",5,"Alle Expertevaluierungsstatus","-2","-2",$B32,"-2","Alle","-2","anzahl_beteiligungen")</f>
        <v>0.17979555021046301</v>
      </c>
      <c r="N32" s="352">
        <f t="shared" ca="1" si="0"/>
        <v>9</v>
      </c>
    </row>
    <row r="33" spans="1:14" ht="15" customHeight="1">
      <c r="B33" s="240">
        <v>1318</v>
      </c>
      <c r="C33" s="296" t="str">
        <f ca="1">_xll.PALO.DATAC("jedoxtest/EU_PM_CUBE02","#_Staatengruppen_und_NUTS","Langbezeichnung",B33)</f>
        <v>Lettland</v>
      </c>
      <c r="D33" s="297"/>
      <c r="E33" s="125">
        <f ca="1">_xll.PALO.DATAC("jedoxtest/EU_PM_CUBE02","EUPM_Mittel2_Cube",Datenstand,"Alle Beteiligungen","Alle Koordinatoren","Alle Unternehmensgrößen","-2","Alle Organisationstypen",28,"Alle Expertevaluierungsstatus","-2","-2",$B33,"-2","Alle","-2","anzahl_beteiligungen")</f>
        <v>493</v>
      </c>
      <c r="F33" s="284">
        <f ca="1">E33/E$7</f>
        <v>4.361751070531196E-3</v>
      </c>
      <c r="G33" s="298">
        <f ca="1">_xll.PALO.DATAC("jedoxtest/EU_PM_CUBE02","EUPM_Mittel2_Cube",Datenstand,"Alle Beteiligungen","Alle Koordinatoren","Alle Unternehmensgrößen","-2","Alle Organisationstypen",28,"Alle Expertevaluierungsstatus","-2","-2",$B33,"-2","Alle","-2","foerderung")/1000000</f>
        <v>131.47546277000001</v>
      </c>
      <c r="H33" s="284">
        <f ca="1">G33/G$7</f>
        <v>2.5481203313848654E-3</v>
      </c>
      <c r="I33" s="125">
        <f ca="1">_xll.PALO.DATAC("jedoxtest/EU_PM_CUBE02","EUPM_Mittel2_Cube",Datenstand,"Alle Beteiligungen","Alle Koordinatoren","Alle Unternehmensgrößen","-2","Alle Organisationstypen",28,"Alle Expertevaluierungsstatus","-2","-2",$B33,"-2","Alle","-2","anzahl_koordinatoren")</f>
        <v>38</v>
      </c>
      <c r="J33" s="284">
        <f ca="1">I33/I$7</f>
        <v>1.8869798391101401E-3</v>
      </c>
      <c r="K33" s="125">
        <f ca="1">_xll.PALO.DATAC("jedoxtest/EU_PM_CUBE02","EUPM_Mittel2_Cube",Datenstand,"Alle Beteiligungen","Alle Koordinatoren","Alle Unternehmensgrößen","-2","Alle Organisationstypen",5,"Alle Expertevaluierungsstatus","-2","-2",$B33,"-2","Alle","-2","anzahl_beteiligungen")</f>
        <v>3214</v>
      </c>
      <c r="L33" s="284">
        <f ca="1">_xll.PALO.DATAC("jedoxtest/EU_PM_CUBE02","EUPM_Mittel2_Cube",Datenstand,"Alle Beteiligungen","Alle Koordinatoren","Alle Unternehmensgrößen","-2","Alle Organisationstypen",14,"Alle Expertevaluierungsstatus","-2","-2",$B33,"-2","Alle","-2","anzahl_beteiligungen")/_xll.PALO.DATAC("jedoxtest/EU_PM_CUBE02","EUPM_Mittel2_Cube",Datenstand,"Alle Beteiligungen","Alle Koordinatoren","Alle Unternehmensgrößen","-2","Alle Organisationstypen",5,"Alle Expertevaluierungsstatus","-2","-2",$B33,"-2","Alle","-2","anzahl_beteiligungen")</f>
        <v>0.16303671437461106</v>
      </c>
      <c r="N33" s="352">
        <f t="shared" ca="1" si="0"/>
        <v>19</v>
      </c>
    </row>
    <row r="34" spans="1:14" ht="15" customHeight="1">
      <c r="B34" s="240">
        <v>1341</v>
      </c>
      <c r="C34" s="299" t="str">
        <f ca="1">_xll.PALO.DATAC("jedoxtest/EU_PM_CUBE02","#_Staatengruppen_und_NUTS","Langbezeichnung",B34)</f>
        <v>Malta</v>
      </c>
      <c r="D34" s="300"/>
      <c r="E34" s="126">
        <f ca="1">_xll.PALO.DATAC("jedoxtest/EU_PM_CUBE02","EUPM_Mittel2_Cube",Datenstand,"Alle Beteiligungen","Alle Koordinatoren","Alle Unternehmensgrößen","-2","Alle Organisationstypen",28,"Alle Expertevaluierungsstatus","-2","-2",$B34,"-2","Alle","-2","anzahl_beteiligungen")</f>
        <v>281</v>
      </c>
      <c r="F34" s="285">
        <f ca="1">E34/E$7</f>
        <v>2.4861096365502355E-3</v>
      </c>
      <c r="G34" s="301">
        <f ca="1">_xll.PALO.DATAC("jedoxtest/EU_PM_CUBE02","EUPM_Mittel2_Cube",Datenstand,"Alle Beteiligungen","Alle Koordinatoren","Alle Unternehmensgrößen","-2","Alle Organisationstypen",28,"Alle Expertevaluierungsstatus","-2","-2",$B34,"-2","Alle","-2","foerderung")/1000000</f>
        <v>63.177222189999995</v>
      </c>
      <c r="H34" s="285">
        <f ca="1">G34/G$7</f>
        <v>1.2244350462898017E-3</v>
      </c>
      <c r="I34" s="126">
        <f ca="1">_xll.PALO.DATAC("jedoxtest/EU_PM_CUBE02","EUPM_Mittel2_Cube",Datenstand,"Alle Beteiligungen","Alle Koordinatoren","Alle Unternehmensgrößen","-2","Alle Organisationstypen",28,"Alle Expertevaluierungsstatus","-2","-2",$B34,"-2","Alle","-2","anzahl_koordinatoren")</f>
        <v>40</v>
      </c>
      <c r="J34" s="285">
        <f ca="1">I34/I$7</f>
        <v>1.9862945674843581E-3</v>
      </c>
      <c r="K34" s="126">
        <f ca="1">_xll.PALO.DATAC("jedoxtest/EU_PM_CUBE02","EUPM_Mittel2_Cube",Datenstand,"Alle Beteiligungen","Alle Koordinatoren","Alle Unternehmensgrößen","-2","Alle Organisationstypen",5,"Alle Expertevaluierungsstatus","-2","-2",$B34,"-2","Alle","-2","anzahl_beteiligungen")</f>
        <v>1633</v>
      </c>
      <c r="L34" s="285">
        <f ca="1">_xll.PALO.DATAC("jedoxtest/EU_PM_CUBE02","EUPM_Mittel2_Cube",Datenstand,"Alle Beteiligungen","Alle Koordinatoren","Alle Unternehmensgrößen","-2","Alle Organisationstypen",14,"Alle Expertevaluierungsstatus","-2","-2",$B34,"-2","Alle","-2","anzahl_beteiligungen")/_xll.PALO.DATAC("jedoxtest/EU_PM_CUBE02","EUPM_Mittel2_Cube",Datenstand,"Alle Beteiligungen","Alle Koordinatoren","Alle Unternehmensgrößen","-2","Alle Organisationstypen",5,"Alle Expertevaluierungsstatus","-2","-2",$B34,"-2","Alle","-2","anzahl_beteiligungen")</f>
        <v>0.16717697489283528</v>
      </c>
      <c r="N34" s="352">
        <f t="shared" ca="1" si="0"/>
        <v>17</v>
      </c>
    </row>
    <row r="35" spans="1:14" hidden="1">
      <c r="B35" s="240">
        <v>10001</v>
      </c>
      <c r="C35" s="239" t="str">
        <f ca="1">_xll.PALO.DATAC("jedoxtest/EU_PM_CUBE02","#_Staatengruppen_und_NUTS","Langbezeichnung",B35)</f>
        <v>European Union (JRC)</v>
      </c>
      <c r="D35" s="241"/>
      <c r="E35" s="242">
        <f ca="1">_xll.PALO.DATAC("jedoxtest/EU_PM_CUBE02","EUPM_Mittel2_Cube",Datenstand,"Alle Beteiligungen","Alle Koordinatoren","Alle Unternehmensgrößen","-2","Alle Organisationstypen",28,"Alle Expertevaluierungsstatus","-2","-2",$B35,"-2","Alle","-2","anzahl_beteiligungen")</f>
        <v>0</v>
      </c>
      <c r="F35" s="238">
        <f t="shared" ref="F35" ca="1" si="1">E35/E$7</f>
        <v>0</v>
      </c>
      <c r="G35" s="243">
        <f ca="1">_xll.PALO.DATAC("jedoxtest/EU_PM_CUBE02","EUPM_Mittel2_Cube",Datenstand,"Alle Beteiligungen","Alle Koordinatoren","Alle Unternehmensgrößen","-2","Alle Organisationstypen",28,"Alle Expertevaluierungsstatus","-2","-2",$B35,"-2","Alle","-2","foerderung")/1000000</f>
        <v>0</v>
      </c>
      <c r="H35" s="238">
        <f t="shared" ref="H35" ca="1" si="2">G35/G$7</f>
        <v>0</v>
      </c>
      <c r="I35" s="242">
        <f ca="1">_xll.PALO.DATAC("jedoxtest/EU_PM_CUBE02","EUPM_Mittel2_Cube",Datenstand,"Alle Beteiligungen","Alle Koordinatoren","Alle Unternehmensgrößen","-2","Alle Organisationstypen",28,"Alle Expertevaluierungsstatus","-2","-2",$B35,"-2","Alle","-2","anzahl_koordinatoren")</f>
        <v>0</v>
      </c>
      <c r="J35" s="238">
        <f t="shared" ref="J35" ca="1" si="3">I35/I$7</f>
        <v>0</v>
      </c>
      <c r="K35" s="242">
        <f ca="1">_xll.PALO.DATAC("jedoxtest/EU_PM_CUBE02","EUPM_Mittel2_Cube",Datenstand,"Alle Beteiligungen","Alle Koordinatoren","Alle Unternehmensgrößen","-2","Alle Organisationstypen",5,"Alle Expertevaluierungsstatus","-2","-2",$B35,"-2","Alle","-2","anzahl_beteiligungen")</f>
        <v>0</v>
      </c>
      <c r="L35" s="238" t="e">
        <f ca="1">_xll.PALO.DATAC("jedoxtest/EU_PM_CUBE02","EUPM_Mittel2_Cube",Datenstand,"Alle Beteiligungen","Alle Koordinatoren","Alle Unternehmensgrößen","-2","Alle Organisationstypen",14,"Alle Expertevaluierungsstatus","-2","-2",$B35,"-2","Alle","-2","anzahl_beteiligungen")/_xll.PALO.DATAC("jedoxtest/EU_PM_CUBE02","EUPM_Mittel2_Cube",Datenstand,"Alle Beteiligungen","Alle Koordinatoren","Alle Unternehmensgrößen","-2","Alle Organisationstypen",5,"Alle Expertevaluierungsstatus","-2","-2",$B35,"-2","Alle","-2","anzahl_beteiligungen")</f>
        <v>#DIV/0!</v>
      </c>
    </row>
    <row r="36" spans="1:14" ht="15" customHeight="1"/>
    <row r="37" spans="1:14" ht="15" customHeight="1">
      <c r="C37" s="761" t="str">
        <f ca="1">"Quelle: EC "&amp;_xll.PALO.DATA("jedoxtest/EU_PM_CUBE02","#_Datenstand","reference_month",Datenstand)&amp;"/"&amp;_xll.PALO.DATA("jedoxtest/EU_PM_CUBE02","#_Datenstand","reference_year",Datenstand)&amp;"; Darstellung FFG"</f>
        <v>Quelle: EC 5/2026; Darstellung FFG</v>
      </c>
      <c r="D37" s="761"/>
      <c r="E37" s="761"/>
      <c r="F37" s="761"/>
      <c r="G37" s="761"/>
      <c r="H37" s="761"/>
      <c r="I37" s="761"/>
      <c r="J37" s="761"/>
      <c r="K37" s="761"/>
      <c r="L37" s="761"/>
    </row>
    <row r="38" spans="1:14" ht="15" customHeight="1">
      <c r="J38" s="212"/>
      <c r="K38" s="211"/>
      <c r="L38" s="235"/>
    </row>
    <row r="39" spans="1:14" ht="15" customHeight="1"/>
    <row r="41" spans="1:14" ht="15" hidden="1" customHeight="1">
      <c r="A41" s="181" t="b">
        <f ca="1">_xll.PALO.HIDEROW(ISBLANK($A$1))</f>
        <v>1</v>
      </c>
      <c r="C41" s="181" t="s">
        <v>191</v>
      </c>
      <c r="D41" s="181" t="str">
        <f ca="1">_xll.PALO.ENAME("jedoxtest/EU_PM_CUBE02","Datenstand",3)</f>
        <v>117</v>
      </c>
    </row>
  </sheetData>
  <sortState xmlns:xlrd2="http://schemas.microsoft.com/office/spreadsheetml/2017/richdata2" ref="B7:L34">
    <sortCondition descending="1" ref="E7:E34"/>
    <sortCondition descending="1" ref="C7:C34"/>
  </sortState>
  <mergeCells count="2">
    <mergeCell ref="C4:L4"/>
    <mergeCell ref="C37:L37"/>
  </mergeCells>
  <pageMargins left="0.70866141732283472" right="0.70866141732283472" top="0.74803149606299213" bottom="0.74803149606299213" header="0.31496062992125984" footer="0.31496062992125984"/>
  <pageSetup paperSize="9" scale="87" orientation="landscape"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9">
    <tabColor rgb="FF92D050"/>
    <pageSetUpPr fitToPage="1"/>
  </sheetPr>
  <dimension ref="A1:I41"/>
  <sheetViews>
    <sheetView zoomScaleNormal="100" workbookViewId="0">
      <selection activeCell="C2" sqref="C2"/>
    </sheetView>
  </sheetViews>
  <sheetFormatPr baseColWidth="10" defaultColWidth="11.42578125" defaultRowHeight="15"/>
  <cols>
    <col min="1" max="1" width="6.28515625" style="74" customWidth="1"/>
    <col min="2" max="2" width="9.85546875" style="74" hidden="1" customWidth="1"/>
    <col min="3" max="6" width="23.5703125" style="74" customWidth="1"/>
    <col min="7" max="7" width="4.140625" style="74" customWidth="1"/>
    <col min="8" max="16384" width="11.42578125" style="74"/>
  </cols>
  <sheetData>
    <row r="1" spans="1:6" ht="15" customHeight="1">
      <c r="B1" s="311" t="b">
        <f ca="1">_xll.PALO.HIDECOLUMN(ISBLANK($A$1))</f>
        <v>1</v>
      </c>
      <c r="C1" s="165"/>
    </row>
    <row r="2" spans="1:6" ht="36" customHeight="1">
      <c r="C2" s="422" t="s">
        <v>234</v>
      </c>
      <c r="D2" s="196"/>
      <c r="E2" s="196"/>
      <c r="F2" s="196"/>
    </row>
    <row r="3" spans="1:6" ht="21" hidden="1" customHeight="1">
      <c r="A3" s="311" t="b">
        <f ca="1">_xll.PALO.HIDEROW(ISBLANK($A$1))</f>
        <v>1</v>
      </c>
      <c r="C3" s="164"/>
      <c r="D3" s="165" t="str">
        <f ca="1">Datenstand</f>
        <v>117</v>
      </c>
      <c r="E3" s="165">
        <v>42</v>
      </c>
      <c r="F3" s="165">
        <v>16</v>
      </c>
    </row>
    <row r="4" spans="1:6" s="311" customFormat="1" ht="48.75" hidden="1" customHeight="1">
      <c r="B4" s="352" t="s">
        <v>117</v>
      </c>
      <c r="C4" s="128" t="s">
        <v>116</v>
      </c>
      <c r="D4" s="189" t="s">
        <v>235</v>
      </c>
      <c r="E4" s="189" t="s">
        <v>237</v>
      </c>
      <c r="F4" s="189" t="s">
        <v>236</v>
      </c>
    </row>
    <row r="6" spans="1:6">
      <c r="B6" s="181" t="s">
        <v>117</v>
      </c>
      <c r="C6" s="128" t="s">
        <v>116</v>
      </c>
      <c r="D6" s="581" t="s">
        <v>286</v>
      </c>
      <c r="E6" s="581" t="s">
        <v>166</v>
      </c>
      <c r="F6" s="581" t="s">
        <v>287</v>
      </c>
    </row>
    <row r="7" spans="1:6" ht="15" customHeight="1">
      <c r="B7" s="460">
        <v>1000001</v>
      </c>
      <c r="C7" s="207" t="s">
        <v>40</v>
      </c>
      <c r="D7" s="236">
        <f ca="1">_xll.PALO.DATAC("jedoxtest/EU_PM_CUBE02","EUPM_Mittel2_Cube",D$3,"Alle Beteiligungen","Alle Koordinatoren","Alle Unternehmensgrößen","-2","Alle Organisationstypen",14,"Alle Expertevaluierungsstatus","-2","-2",$B7,"-2","Alle","-2","anzahl_beteiligungen")/_xll.PALO.DATAC("jedoxtest/EU_PM_CUBE02","EUPM_Mittel2_Cube",D$3,"Alle Beteiligungen","Alle Koordinatoren","Alle Unternehmensgrößen","-2","Alle Organisationstypen",5,"Alle Expertevaluierungsstatus","-2","-2",$B7,"-2","Alle","-2","anzahl_beteiligungen")</f>
        <v>0.18266430122332256</v>
      </c>
      <c r="E7" s="236">
        <f ca="1">_xll.PALO.DATAC("jedoxtest/EU_PM_CUBE02","EUPM_Mittel2_Cube",E$3,"Alle Beteiligungen","Alle Koordinatoren","Alle Unternehmensgrößen","-2","Alle Organisationstypen",14,"Alle Expertevaluierungsstatus","-2","-2",$B7,"-2","Alle","-2","anzahl_beteiligungen")/_xll.PALO.DATAC("jedoxtest/EU_PM_CUBE02","EUPM_Mittel2_Cube",E$3,"Alle Beteiligungen","Alle Koordinatoren","Alle Unternehmensgrößen","-2","Alle Organisationstypen",5,"Alle Expertevaluierungsstatus","-2","-2",$B7,"-2","Alle","-2","anzahl_beteiligungen")</f>
        <v>0.15263404645078543</v>
      </c>
      <c r="F7" s="236">
        <f ca="1">_xll.PALO.DATAC("jedoxtest/EU_PM_CUBE02","EUPM_Mittel2_Cube",F$3,"Alle Beteiligungen","Alle Koordinatoren","Alle Unternehmensgrößen","-2","Alle Organisationstypen",14,"Alle Expertevaluierungsstatus","-2","-2",$B7,"-2","Alle","-2","anzahl_beteiligungen")/_xll.PALO.DATAC("jedoxtest/EU_PM_CUBE02","EUPM_Mittel2_Cube",F$3,"Alle Beteiligungen","Alle Koordinatoren","Alle Unternehmensgrößen","-2","Alle Organisationstypen",5,"Alle Expertevaluierungsstatus","-2","-2",$B7,"-2","Alle","-2","anzahl_beteiligungen")</f>
        <v>0.21503716268449699</v>
      </c>
    </row>
    <row r="8" spans="1:6" s="455" customFormat="1" ht="15" customHeight="1">
      <c r="B8" s="456">
        <v>52</v>
      </c>
      <c r="C8" s="457" t="str">
        <f ca="1">_xll.PALO.DATAC("jedoxtest/EU_PM_CUBE02","#_Staatengruppen_und_NUTS","Langbezeichnung",B8)</f>
        <v>Belgien</v>
      </c>
      <c r="D8" s="119">
        <f ca="1">_xll.PALO.DATAC("jedoxtest/EU_PM_CUBE02","EUPM_Mittel2_Cube",D$3,"Alle Beteiligungen","Alle Koordinatoren","Alle Unternehmensgrößen","-2","Alle Organisationstypen",14,"Alle Expertevaluierungsstatus","-2","-2",$B8,"-2","Alle","-2","anzahl_beteiligungen")/_xll.PALO.DATAC("jedoxtest/EU_PM_CUBE02","EUPM_Mittel2_Cube",D$3,"Alle Beteiligungen","Alle Koordinatoren","Alle Unternehmensgrößen","-2","Alle Organisationstypen",5,"Alle Expertevaluierungsstatus","-2","-2",$B8,"-2","Alle","-2","anzahl_beteiligungen")</f>
        <v>0.21742947442350463</v>
      </c>
      <c r="E8" s="119">
        <f ca="1">_xll.PALO.DATAC("jedoxtest/EU_PM_CUBE02","EUPM_Mittel2_Cube",E$3,"Alle Beteiligungen","Alle Koordinatoren","Alle Unternehmensgrößen","-2","Alle Organisationstypen",14,"Alle Expertevaluierungsstatus","-2","-2",$B8,"-2","Alle","-2","anzahl_beteiligungen")/_xll.PALO.DATAC("jedoxtest/EU_PM_CUBE02","EUPM_Mittel2_Cube",E$3,"Alle Beteiligungen","Alle Koordinatoren","Alle Unternehmensgrößen","-2","Alle Organisationstypen",5,"Alle Expertevaluierungsstatus","-2","-2",$B8,"-2","Alle","-2","anzahl_beteiligungen")</f>
        <v>0.18949907973934238</v>
      </c>
      <c r="F8" s="119">
        <f ca="1">_xll.PALO.DATAC("jedoxtest/EU_PM_CUBE02","EUPM_Mittel2_Cube",F$3,"Alle Beteiligungen","Alle Koordinatoren","Alle Unternehmensgrößen","-2","Alle Organisationstypen",14,"Alle Expertevaluierungsstatus","-2","-2",$B8,"-2","Alle","-2","anzahl_beteiligungen")/_xll.PALO.DATAC("jedoxtest/EU_PM_CUBE02","EUPM_Mittel2_Cube",F$3,"Alle Beteiligungen","Alle Koordinatoren","Alle Unternehmensgrößen","-2","Alle Organisationstypen",5,"Alle Expertevaluierungsstatus","-2","-2",$B8,"-2","Alle","-2","anzahl_beteiligungen")</f>
        <v>0.26388051393849438</v>
      </c>
    </row>
    <row r="9" spans="1:6" s="297" customFormat="1" ht="15" customHeight="1">
      <c r="B9" s="458">
        <v>114</v>
      </c>
      <c r="C9" s="296" t="str">
        <f ca="1">_xll.PALO.DATAC("jedoxtest/EU_PM_CUBE02","#_Staatengruppen_und_NUTS","Langbezeichnung",B9)</f>
        <v>Bulgarien</v>
      </c>
      <c r="D9" s="120">
        <f ca="1">_xll.PALO.DATAC("jedoxtest/EU_PM_CUBE02","EUPM_Mittel2_Cube",D$3,"Alle Beteiligungen","Alle Koordinatoren","Alle Unternehmensgrößen","-2","Alle Organisationstypen",14,"Alle Expertevaluierungsstatus","-2","-2",$B9,"-2","Alle","-2","anzahl_beteiligungen")/_xll.PALO.DATAC("jedoxtest/EU_PM_CUBE02","EUPM_Mittel2_Cube",D$3,"Alle Beteiligungen","Alle Koordinatoren","Alle Unternehmensgrößen","-2","Alle Organisationstypen",5,"Alle Expertevaluierungsstatus","-2","-2",$B9,"-2","Alle","-2","anzahl_beteiligungen")</f>
        <v>0.15777126099706745</v>
      </c>
      <c r="E9" s="120">
        <f ca="1">_xll.PALO.DATAC("jedoxtest/EU_PM_CUBE02","EUPM_Mittel2_Cube",E$3,"Alle Beteiligungen","Alle Koordinatoren","Alle Unternehmensgrößen","-2","Alle Organisationstypen",14,"Alle Expertevaluierungsstatus","-2","-2",$B9,"-2","Alle","-2","anzahl_beteiligungen")/_xll.PALO.DATAC("jedoxtest/EU_PM_CUBE02","EUPM_Mittel2_Cube",E$3,"Alle Beteiligungen","Alle Koordinatoren","Alle Unternehmensgrößen","-2","Alle Organisationstypen",5,"Alle Expertevaluierungsstatus","-2","-2",$B9,"-2","Alle","-2","anzahl_beteiligungen")</f>
        <v>0.12681105302464526</v>
      </c>
      <c r="F9" s="120">
        <f ca="1">_xll.PALO.DATAC("jedoxtest/EU_PM_CUBE02","EUPM_Mittel2_Cube",F$3,"Alle Beteiligungen","Alle Koordinatoren","Alle Unternehmensgrößen","-2","Alle Organisationstypen",14,"Alle Expertevaluierungsstatus","-2","-2",$B9,"-2","Alle","-2","anzahl_beteiligungen")/_xll.PALO.DATAC("jedoxtest/EU_PM_CUBE02","EUPM_Mittel2_Cube",F$3,"Alle Beteiligungen","Alle Koordinatoren","Alle Unternehmensgrößen","-2","Alle Organisationstypen",5,"Alle Expertevaluierungsstatus","-2","-2",$B9,"-2","Alle","-2","anzahl_beteiligungen")</f>
        <v>0.16395037703721721</v>
      </c>
    </row>
    <row r="10" spans="1:6" s="297" customFormat="1" ht="15" customHeight="1">
      <c r="B10" s="458">
        <v>711</v>
      </c>
      <c r="C10" s="296" t="str">
        <f ca="1">_xll.PALO.DATAC("jedoxtest/EU_PM_CUBE02","#_Staatengruppen_und_NUTS","Langbezeichnung",B10)</f>
        <v>Dänemark</v>
      </c>
      <c r="D10" s="120">
        <f ca="1">_xll.PALO.DATAC("jedoxtest/EU_PM_CUBE02","EUPM_Mittel2_Cube",D$3,"Alle Beteiligungen","Alle Koordinatoren","Alle Unternehmensgrößen","-2","Alle Organisationstypen",14,"Alle Expertevaluierungsstatus","-2","-2",$B10,"-2","Alle","-2","anzahl_beteiligungen")/_xll.PALO.DATAC("jedoxtest/EU_PM_CUBE02","EUPM_Mittel2_Cube",D$3,"Alle Beteiligungen","Alle Koordinatoren","Alle Unternehmensgrößen","-2","Alle Organisationstypen",5,"Alle Expertevaluierungsstatus","-2","-2",$B10,"-2","Alle","-2","anzahl_beteiligungen")</f>
        <v>0.19705406861864558</v>
      </c>
      <c r="E10" s="120">
        <f ca="1">_xll.PALO.DATAC("jedoxtest/EU_PM_CUBE02","EUPM_Mittel2_Cube",E$3,"Alle Beteiligungen","Alle Koordinatoren","Alle Unternehmensgrößen","-2","Alle Organisationstypen",14,"Alle Expertevaluierungsstatus","-2","-2",$B10,"-2","Alle","-2","anzahl_beteiligungen")/_xll.PALO.DATAC("jedoxtest/EU_PM_CUBE02","EUPM_Mittel2_Cube",E$3,"Alle Beteiligungen","Alle Koordinatoren","Alle Unternehmensgrößen","-2","Alle Organisationstypen",5,"Alle Expertevaluierungsstatus","-2","-2",$B10,"-2","Alle","-2","anzahl_beteiligungen")</f>
        <v>0.15136196524064172</v>
      </c>
      <c r="F10" s="120">
        <f ca="1">_xll.PALO.DATAC("jedoxtest/EU_PM_CUBE02","EUPM_Mittel2_Cube",F$3,"Alle Beteiligungen","Alle Koordinatoren","Alle Unternehmensgrößen","-2","Alle Organisationstypen",14,"Alle Expertevaluierungsstatus","-2","-2",$B10,"-2","Alle","-2","anzahl_beteiligungen")/_xll.PALO.DATAC("jedoxtest/EU_PM_CUBE02","EUPM_Mittel2_Cube",F$3,"Alle Beteiligungen","Alle Koordinatoren","Alle Unternehmensgrößen","-2","Alle Organisationstypen",5,"Alle Expertevaluierungsstatus","-2","-2",$B10,"-2","Alle","-2","anzahl_beteiligungen")</f>
        <v>0.24208717670464822</v>
      </c>
    </row>
    <row r="11" spans="1:6" s="297" customFormat="1" ht="15" customHeight="1">
      <c r="B11" s="458">
        <v>223</v>
      </c>
      <c r="C11" s="296" t="str">
        <f ca="1">_xll.PALO.DATAC("jedoxtest/EU_PM_CUBE02","#_Staatengruppen_und_NUTS","Langbezeichnung",B11)</f>
        <v>Deutschland</v>
      </c>
      <c r="D11" s="120">
        <f ca="1">_xll.PALO.DATAC("jedoxtest/EU_PM_CUBE02","EUPM_Mittel2_Cube",D$3,"Alle Beteiligungen","Alle Koordinatoren","Alle Unternehmensgrößen","-2","Alle Organisationstypen",14,"Alle Expertevaluierungsstatus","-2","-2",$B11,"-2","Alle","-2","anzahl_beteiligungen")/_xll.PALO.DATAC("jedoxtest/EU_PM_CUBE02","EUPM_Mittel2_Cube",D$3,"Alle Beteiligungen","Alle Koordinatoren","Alle Unternehmensgrößen","-2","Alle Organisationstypen",5,"Alle Expertevaluierungsstatus","-2","-2",$B11,"-2","Alle","-2","anzahl_beteiligungen")</f>
        <v>0.19965994978946111</v>
      </c>
      <c r="E11" s="120">
        <f ca="1">_xll.PALO.DATAC("jedoxtest/EU_PM_CUBE02","EUPM_Mittel2_Cube",E$3,"Alle Beteiligungen","Alle Koordinatoren","Alle Unternehmensgrößen","-2","Alle Organisationstypen",14,"Alle Expertevaluierungsstatus","-2","-2",$B11,"-2","Alle","-2","anzahl_beteiligungen")/_xll.PALO.DATAC("jedoxtest/EU_PM_CUBE02","EUPM_Mittel2_Cube",E$3,"Alle Beteiligungen","Alle Koordinatoren","Alle Unternehmensgrößen","-2","Alle Organisationstypen",5,"Alle Expertevaluierungsstatus","-2","-2",$B11,"-2","Alle","-2","anzahl_beteiligungen")</f>
        <v>0.16873924387942041</v>
      </c>
      <c r="F11" s="120">
        <f ca="1">_xll.PALO.DATAC("jedoxtest/EU_PM_CUBE02","EUPM_Mittel2_Cube",F$3,"Alle Beteiligungen","Alle Koordinatoren","Alle Unternehmensgrößen","-2","Alle Organisationstypen",14,"Alle Expertevaluierungsstatus","-2","-2",$B11,"-2","Alle","-2","anzahl_beteiligungen")/_xll.PALO.DATAC("jedoxtest/EU_PM_CUBE02","EUPM_Mittel2_Cube",F$3,"Alle Beteiligungen","Alle Koordinatoren","Alle Unternehmensgrößen","-2","Alle Organisationstypen",5,"Alle Expertevaluierungsstatus","-2","-2",$B11,"-2","Alle","-2","anzahl_beteiligungen")</f>
        <v>0.24142069639243599</v>
      </c>
    </row>
    <row r="12" spans="1:6" s="297" customFormat="1" ht="15" customHeight="1">
      <c r="B12" s="458">
        <v>732</v>
      </c>
      <c r="C12" s="296" t="str">
        <f ca="1">_xll.PALO.DATAC("jedoxtest/EU_PM_CUBE02","#_Staatengruppen_und_NUTS","Langbezeichnung",B12)</f>
        <v>Estland</v>
      </c>
      <c r="D12" s="120">
        <f ca="1">_xll.PALO.DATAC("jedoxtest/EU_PM_CUBE02","EUPM_Mittel2_Cube",D$3,"Alle Beteiligungen","Alle Koordinatoren","Alle Unternehmensgrößen","-2","Alle Organisationstypen",14,"Alle Expertevaluierungsstatus","-2","-2",$B12,"-2","Alle","-2","anzahl_beteiligungen")/_xll.PALO.DATAC("jedoxtest/EU_PM_CUBE02","EUPM_Mittel2_Cube",D$3,"Alle Beteiligungen","Alle Koordinatoren","Alle Unternehmensgrößen","-2","Alle Organisationstypen",5,"Alle Expertevaluierungsstatus","-2","-2",$B12,"-2","Alle","-2","anzahl_beteiligungen")</f>
        <v>0.16818914562063406</v>
      </c>
      <c r="E12" s="120">
        <f ca="1">_xll.PALO.DATAC("jedoxtest/EU_PM_CUBE02","EUPM_Mittel2_Cube",E$3,"Alle Beteiligungen","Alle Koordinatoren","Alle Unternehmensgrößen","-2","Alle Organisationstypen",14,"Alle Expertevaluierungsstatus","-2","-2",$B12,"-2","Alle","-2","anzahl_beteiligungen")/_xll.PALO.DATAC("jedoxtest/EU_PM_CUBE02","EUPM_Mittel2_Cube",E$3,"Alle Beteiligungen","Alle Koordinatoren","Alle Unternehmensgrößen","-2","Alle Organisationstypen",5,"Alle Expertevaluierungsstatus","-2","-2",$B12,"-2","Alle","-2","anzahl_beteiligungen")</f>
        <v>0.13751738525730181</v>
      </c>
      <c r="F12" s="120">
        <f ca="1">_xll.PALO.DATAC("jedoxtest/EU_PM_CUBE02","EUPM_Mittel2_Cube",F$3,"Alle Beteiligungen","Alle Koordinatoren","Alle Unternehmensgrößen","-2","Alle Organisationstypen",14,"Alle Expertevaluierungsstatus","-2","-2",$B12,"-2","Alle","-2","anzahl_beteiligungen")/_xll.PALO.DATAC("jedoxtest/EU_PM_CUBE02","EUPM_Mittel2_Cube",F$3,"Alle Beteiligungen","Alle Koordinatoren","Alle Unternehmensgrößen","-2","Alle Organisationstypen",5,"Alle Expertevaluierungsstatus","-2","-2",$B12,"-2","Alle","-2","anzahl_beteiligungen")</f>
        <v>0.20556478405315615</v>
      </c>
    </row>
    <row r="13" spans="1:6" s="297" customFormat="1" ht="15" customHeight="1">
      <c r="B13" s="458">
        <v>904</v>
      </c>
      <c r="C13" s="296" t="str">
        <f ca="1">_xll.PALO.DATAC("jedoxtest/EU_PM_CUBE02","#_Staatengruppen_und_NUTS","Langbezeichnung",B13)</f>
        <v>Finnland</v>
      </c>
      <c r="D13" s="120">
        <f ca="1">_xll.PALO.DATAC("jedoxtest/EU_PM_CUBE02","EUPM_Mittel2_Cube",D$3,"Alle Beteiligungen","Alle Koordinatoren","Alle Unternehmensgrößen","-2","Alle Organisationstypen",14,"Alle Expertevaluierungsstatus","-2","-2",$B13,"-2","Alle","-2","anzahl_beteiligungen")/_xll.PALO.DATAC("jedoxtest/EU_PM_CUBE02","EUPM_Mittel2_Cube",D$3,"Alle Beteiligungen","Alle Koordinatoren","Alle Unternehmensgrößen","-2","Alle Organisationstypen",5,"Alle Expertevaluierungsstatus","-2","-2",$B13,"-2","Alle","-2","anzahl_beteiligungen")</f>
        <v>0.19677845894939294</v>
      </c>
      <c r="E13" s="120">
        <f ca="1">_xll.PALO.DATAC("jedoxtest/EU_PM_CUBE02","EUPM_Mittel2_Cube",E$3,"Alle Beteiligungen","Alle Koordinatoren","Alle Unternehmensgrößen","-2","Alle Organisationstypen",14,"Alle Expertevaluierungsstatus","-2","-2",$B13,"-2","Alle","-2","anzahl_beteiligungen")/_xll.PALO.DATAC("jedoxtest/EU_PM_CUBE02","EUPM_Mittel2_Cube",E$3,"Alle Beteiligungen","Alle Koordinatoren","Alle Unternehmensgrößen","-2","Alle Organisationstypen",5,"Alle Expertevaluierungsstatus","-2","-2",$B13,"-2","Alle","-2","anzahl_beteiligungen")</f>
        <v>0.14169122647925642</v>
      </c>
      <c r="F13" s="120">
        <f ca="1">_xll.PALO.DATAC("jedoxtest/EU_PM_CUBE02","EUPM_Mittel2_Cube",F$3,"Alle Beteiligungen","Alle Koordinatoren","Alle Unternehmensgrößen","-2","Alle Organisationstypen",14,"Alle Expertevaluierungsstatus","-2","-2",$B13,"-2","Alle","-2","anzahl_beteiligungen")/_xll.PALO.DATAC("jedoxtest/EU_PM_CUBE02","EUPM_Mittel2_Cube",F$3,"Alle Beteiligungen","Alle Koordinatoren","Alle Unternehmensgrößen","-2","Alle Organisationstypen",5,"Alle Expertevaluierungsstatus","-2","-2",$B13,"-2","Alle","-2","anzahl_beteiligungen")</f>
        <v>0.21358195586678611</v>
      </c>
    </row>
    <row r="14" spans="1:6" s="297" customFormat="1" ht="15" customHeight="1">
      <c r="B14" s="458">
        <v>935</v>
      </c>
      <c r="C14" s="296" t="str">
        <f ca="1">_xll.PALO.DATAC("jedoxtest/EU_PM_CUBE02","#_Staatengruppen_und_NUTS","Langbezeichnung",B14)</f>
        <v>Frankreich</v>
      </c>
      <c r="D14" s="120">
        <f ca="1">_xll.PALO.DATAC("jedoxtest/EU_PM_CUBE02","EUPM_Mittel2_Cube",D$3,"Alle Beteiligungen","Alle Koordinatoren","Alle Unternehmensgrößen","-2","Alle Organisationstypen",14,"Alle Expertevaluierungsstatus","-2","-2",$B14,"-2","Alle","-2","anzahl_beteiligungen")/_xll.PALO.DATAC("jedoxtest/EU_PM_CUBE02","EUPM_Mittel2_Cube",D$3,"Alle Beteiligungen","Alle Koordinatoren","Alle Unternehmensgrößen","-2","Alle Organisationstypen",5,"Alle Expertevaluierungsstatus","-2","-2",$B14,"-2","Alle","-2","anzahl_beteiligungen")</f>
        <v>0.20954000357973868</v>
      </c>
      <c r="E14" s="120">
        <f ca="1">_xll.PALO.DATAC("jedoxtest/EU_PM_CUBE02","EUPM_Mittel2_Cube",E$3,"Alle Beteiligungen","Alle Koordinatoren","Alle Unternehmensgrößen","-2","Alle Organisationstypen",14,"Alle Expertevaluierungsstatus","-2","-2",$B14,"-2","Alle","-2","anzahl_beteiligungen")/_xll.PALO.DATAC("jedoxtest/EU_PM_CUBE02","EUPM_Mittel2_Cube",E$3,"Alle Beteiligungen","Alle Koordinatoren","Alle Unternehmensgrößen","-2","Alle Organisationstypen",5,"Alle Expertevaluierungsstatus","-2","-2",$B14,"-2","Alle","-2","anzahl_beteiligungen")</f>
        <v>0.17513269571014642</v>
      </c>
      <c r="F14" s="120">
        <f ca="1">_xll.PALO.DATAC("jedoxtest/EU_PM_CUBE02","EUPM_Mittel2_Cube",F$3,"Alle Beteiligungen","Alle Koordinatoren","Alle Unternehmensgrößen","-2","Alle Organisationstypen",14,"Alle Expertevaluierungsstatus","-2","-2",$B14,"-2","Alle","-2","anzahl_beteiligungen")/_xll.PALO.DATAC("jedoxtest/EU_PM_CUBE02","EUPM_Mittel2_Cube",F$3,"Alle Beteiligungen","Alle Koordinatoren","Alle Unternehmensgrößen","-2","Alle Organisationstypen",5,"Alle Expertevaluierungsstatus","-2","-2",$B14,"-2","Alle","-2","anzahl_beteiligungen")</f>
        <v>0.25176041579344455</v>
      </c>
    </row>
    <row r="15" spans="1:6" s="297" customFormat="1" ht="15" customHeight="1">
      <c r="B15" s="458">
        <v>743</v>
      </c>
      <c r="C15" s="296" t="str">
        <f ca="1">_xll.PALO.DATAC("jedoxtest/EU_PM_CUBE02","#_Staatengruppen_und_NUTS","Langbezeichnung",B15)</f>
        <v>Griechenland</v>
      </c>
      <c r="D15" s="120">
        <f ca="1">_xll.PALO.DATAC("jedoxtest/EU_PM_CUBE02","EUPM_Mittel2_Cube",D$3,"Alle Beteiligungen","Alle Koordinatoren","Alle Unternehmensgrößen","-2","Alle Organisationstypen",14,"Alle Expertevaluierungsstatus","-2","-2",$B15,"-2","Alle","-2","anzahl_beteiligungen")/_xll.PALO.DATAC("jedoxtest/EU_PM_CUBE02","EUPM_Mittel2_Cube",D$3,"Alle Beteiligungen","Alle Koordinatoren","Alle Unternehmensgrößen","-2","Alle Organisationstypen",5,"Alle Expertevaluierungsstatus","-2","-2",$B15,"-2","Alle","-2","anzahl_beteiligungen")</f>
        <v>0.15398906245911506</v>
      </c>
      <c r="E15" s="120">
        <f ca="1">_xll.PALO.DATAC("jedoxtest/EU_PM_CUBE02","EUPM_Mittel2_Cube",E$3,"Alle Beteiligungen","Alle Koordinatoren","Alle Unternehmensgrößen","-2","Alle Organisationstypen",14,"Alle Expertevaluierungsstatus","-2","-2",$B15,"-2","Alle","-2","anzahl_beteiligungen")/_xll.PALO.DATAC("jedoxtest/EU_PM_CUBE02","EUPM_Mittel2_Cube",E$3,"Alle Beteiligungen","Alle Koordinatoren","Alle Unternehmensgrößen","-2","Alle Organisationstypen",5,"Alle Expertevaluierungsstatus","-2","-2",$B15,"-2","Alle","-2","anzahl_beteiligungen")</f>
        <v>0.1394446535599502</v>
      </c>
      <c r="F15" s="120">
        <f ca="1">_xll.PALO.DATAC("jedoxtest/EU_PM_CUBE02","EUPM_Mittel2_Cube",F$3,"Alle Beteiligungen","Alle Koordinatoren","Alle Unternehmensgrößen","-2","Alle Organisationstypen",14,"Alle Expertevaluierungsstatus","-2","-2",$B15,"-2","Alle","-2","anzahl_beteiligungen")/_xll.PALO.DATAC("jedoxtest/EU_PM_CUBE02","EUPM_Mittel2_Cube",F$3,"Alle Beteiligungen","Alle Koordinatoren","Alle Unternehmensgrößen","-2","Alle Organisationstypen",5,"Alle Expertevaluierungsstatus","-2","-2",$B15,"-2","Alle","-2","anzahl_beteiligungen")</f>
        <v>0.16461173405294746</v>
      </c>
    </row>
    <row r="16" spans="1:6" s="297" customFormat="1" ht="15" customHeight="1">
      <c r="B16" s="458">
        <v>1134</v>
      </c>
      <c r="C16" s="296" t="str">
        <f ca="1">_xll.PALO.DATAC("jedoxtest/EU_PM_CUBE02","#_Staatengruppen_und_NUTS","Langbezeichnung",B16)</f>
        <v>Irland</v>
      </c>
      <c r="D16" s="120">
        <f ca="1">_xll.PALO.DATAC("jedoxtest/EU_PM_CUBE02","EUPM_Mittel2_Cube",D$3,"Alle Beteiligungen","Alle Koordinatoren","Alle Unternehmensgrößen","-2","Alle Organisationstypen",14,"Alle Expertevaluierungsstatus","-2","-2",$B16,"-2","Alle","-2","anzahl_beteiligungen")/_xll.PALO.DATAC("jedoxtest/EU_PM_CUBE02","EUPM_Mittel2_Cube",D$3,"Alle Beteiligungen","Alle Koordinatoren","Alle Unternehmensgrößen","-2","Alle Organisationstypen",5,"Alle Expertevaluierungsstatus","-2","-2",$B16,"-2","Alle","-2","anzahl_beteiligungen")</f>
        <v>0.17325734936409756</v>
      </c>
      <c r="E16" s="120">
        <f ca="1">_xll.PALO.DATAC("jedoxtest/EU_PM_CUBE02","EUPM_Mittel2_Cube",E$3,"Alle Beteiligungen","Alle Koordinatoren","Alle Unternehmensgrößen","-2","Alle Organisationstypen",14,"Alle Expertevaluierungsstatus","-2","-2",$B16,"-2","Alle","-2","anzahl_beteiligungen")/_xll.PALO.DATAC("jedoxtest/EU_PM_CUBE02","EUPM_Mittel2_Cube",E$3,"Alle Beteiligungen","Alle Koordinatoren","Alle Unternehmensgrößen","-2","Alle Organisationstypen",5,"Alle Expertevaluierungsstatus","-2","-2",$B16,"-2","Alle","-2","anzahl_beteiligungen")</f>
        <v>0.14865241894983539</v>
      </c>
      <c r="F16" s="120">
        <f ca="1">_xll.PALO.DATAC("jedoxtest/EU_PM_CUBE02","EUPM_Mittel2_Cube",F$3,"Alle Beteiligungen","Alle Koordinatoren","Alle Unternehmensgrößen","-2","Alle Organisationstypen",14,"Alle Expertevaluierungsstatus","-2","-2",$B16,"-2","Alle","-2","anzahl_beteiligungen")/_xll.PALO.DATAC("jedoxtest/EU_PM_CUBE02","EUPM_Mittel2_Cube",F$3,"Alle Beteiligungen","Alle Koordinatoren","Alle Unternehmensgrößen","-2","Alle Organisationstypen",5,"Alle Expertevaluierungsstatus","-2","-2",$B16,"-2","Alle","-2","anzahl_beteiligungen")</f>
        <v>0.21957067823704041</v>
      </c>
    </row>
    <row r="17" spans="2:9" s="297" customFormat="1" ht="15" customHeight="1">
      <c r="B17" s="458">
        <v>1154</v>
      </c>
      <c r="C17" s="296" t="str">
        <f ca="1">_xll.PALO.DATAC("jedoxtest/EU_PM_CUBE02","#_Staatengruppen_und_NUTS","Langbezeichnung",B17)</f>
        <v>Italien</v>
      </c>
      <c r="D17" s="120">
        <f ca="1">_xll.PALO.DATAC("jedoxtest/EU_PM_CUBE02","EUPM_Mittel2_Cube",D$3,"Alle Beteiligungen","Alle Koordinatoren","Alle Unternehmensgrößen","-2","Alle Organisationstypen",14,"Alle Expertevaluierungsstatus","-2","-2",$B17,"-2","Alle","-2","anzahl_beteiligungen")/_xll.PALO.DATAC("jedoxtest/EU_PM_CUBE02","EUPM_Mittel2_Cube",D$3,"Alle Beteiligungen","Alle Koordinatoren","Alle Unternehmensgrößen","-2","Alle Organisationstypen",5,"Alle Expertevaluierungsstatus","-2","-2",$B17,"-2","Alle","-2","anzahl_beteiligungen")</f>
        <v>0.16156312255102445</v>
      </c>
      <c r="E17" s="120">
        <f ca="1">_xll.PALO.DATAC("jedoxtest/EU_PM_CUBE02","EUPM_Mittel2_Cube",E$3,"Alle Beteiligungen","Alle Koordinatoren","Alle Unternehmensgrößen","-2","Alle Organisationstypen",14,"Alle Expertevaluierungsstatus","-2","-2",$B17,"-2","Alle","-2","anzahl_beteiligungen")/_xll.PALO.DATAC("jedoxtest/EU_PM_CUBE02","EUPM_Mittel2_Cube",E$3,"Alle Beteiligungen","Alle Koordinatoren","Alle Unternehmensgrößen","-2","Alle Organisationstypen",5,"Alle Expertevaluierungsstatus","-2","-2",$B17,"-2","Alle","-2","anzahl_beteiligungen")</f>
        <v>0.1300979909125746</v>
      </c>
      <c r="F17" s="120">
        <f ca="1">_xll.PALO.DATAC("jedoxtest/EU_PM_CUBE02","EUPM_Mittel2_Cube",F$3,"Alle Beteiligungen","Alle Koordinatoren","Alle Unternehmensgrößen","-2","Alle Organisationstypen",14,"Alle Expertevaluierungsstatus","-2","-2",$B17,"-2","Alle","-2","anzahl_beteiligungen")/_xll.PALO.DATAC("jedoxtest/EU_PM_CUBE02","EUPM_Mittel2_Cube",F$3,"Alle Beteiligungen","Alle Koordinatoren","Alle Unternehmensgrößen","-2","Alle Organisationstypen",5,"Alle Expertevaluierungsstatus","-2","-2",$B17,"-2","Alle","-2","anzahl_beteiligungen")</f>
        <v>0.18334769250776209</v>
      </c>
    </row>
    <row r="18" spans="2:9" s="297" customFormat="1" ht="15" customHeight="1">
      <c r="B18" s="458">
        <v>1074</v>
      </c>
      <c r="C18" s="296" t="str">
        <f ca="1">_xll.PALO.DATAC("jedoxtest/EU_PM_CUBE02","#_Staatengruppen_und_NUTS","Langbezeichnung",B18)</f>
        <v>Kroatien</v>
      </c>
      <c r="D18" s="120">
        <f ca="1">_xll.PALO.DATAC("jedoxtest/EU_PM_CUBE02","EUPM_Mittel2_Cube",D$3,"Alle Beteiligungen","Alle Koordinatoren","Alle Unternehmensgrößen","-2","Alle Organisationstypen",14,"Alle Expertevaluierungsstatus","-2","-2",$B18,"-2","Alle","-2","anzahl_beteiligungen")/_xll.PALO.DATAC("jedoxtest/EU_PM_CUBE02","EUPM_Mittel2_Cube",D$3,"Alle Beteiligungen","Alle Koordinatoren","Alle Unternehmensgrößen","-2","Alle Organisationstypen",5,"Alle Expertevaluierungsstatus","-2","-2",$B18,"-2","Alle","-2","anzahl_beteiligungen")</f>
        <v>0.15827027027027027</v>
      </c>
      <c r="E18" s="120">
        <f ca="1">_xll.PALO.DATAC("jedoxtest/EU_PM_CUBE02","EUPM_Mittel2_Cube",E$3,"Alle Beteiligungen","Alle Koordinatoren","Alle Unternehmensgrößen","-2","Alle Organisationstypen",14,"Alle Expertevaluierungsstatus","-2","-2",$B18,"-2","Alle","-2","anzahl_beteiligungen")/_xll.PALO.DATAC("jedoxtest/EU_PM_CUBE02","EUPM_Mittel2_Cube",E$3,"Alle Beteiligungen","Alle Koordinatoren","Alle Unternehmensgrößen","-2","Alle Organisationstypen",5,"Alle Expertevaluierungsstatus","-2","-2",$B18,"-2","Alle","-2","anzahl_beteiligungen")</f>
        <v>0.13528562590224788</v>
      </c>
      <c r="F18" s="120">
        <f ca="1">_xll.PALO.DATAC("jedoxtest/EU_PM_CUBE02","EUPM_Mittel2_Cube",F$3,"Alle Beteiligungen","Alle Koordinatoren","Alle Unternehmensgrößen","-2","Alle Organisationstypen",14,"Alle Expertevaluierungsstatus","-2","-2",$B18,"-2","Alle","-2","anzahl_beteiligungen")/_xll.PALO.DATAC("jedoxtest/EU_PM_CUBE02","EUPM_Mittel2_Cube",F$3,"Alle Beteiligungen","Alle Koordinatoren","Alle Unternehmensgrößen","-2","Alle Organisationstypen",5,"Alle Expertevaluierungsstatus","-2","-2",$B18,"-2","Alle","-2","anzahl_beteiligungen")</f>
        <v>0.16978667827601218</v>
      </c>
    </row>
    <row r="19" spans="2:9" s="297" customFormat="1" ht="15" customHeight="1">
      <c r="B19" s="458">
        <v>1318</v>
      </c>
      <c r="C19" s="296" t="str">
        <f ca="1">_xll.PALO.DATAC("jedoxtest/EU_PM_CUBE02","#_Staatengruppen_und_NUTS","Langbezeichnung",B19)</f>
        <v>Lettland</v>
      </c>
      <c r="D19" s="120">
        <f ca="1">_xll.PALO.DATAC("jedoxtest/EU_PM_CUBE02","EUPM_Mittel2_Cube",D$3,"Alle Beteiligungen","Alle Koordinatoren","Alle Unternehmensgrößen","-2","Alle Organisationstypen",14,"Alle Expertevaluierungsstatus","-2","-2",$B19,"-2","Alle","-2","anzahl_beteiligungen")/_xll.PALO.DATAC("jedoxtest/EU_PM_CUBE02","EUPM_Mittel2_Cube",D$3,"Alle Beteiligungen","Alle Koordinatoren","Alle Unternehmensgrößen","-2","Alle Organisationstypen",5,"Alle Expertevaluierungsstatus","-2","-2",$B19,"-2","Alle","-2","anzahl_beteiligungen")</f>
        <v>0.16303671437461106</v>
      </c>
      <c r="E19" s="120">
        <f ca="1">_xll.PALO.DATAC("jedoxtest/EU_PM_CUBE02","EUPM_Mittel2_Cube",E$3,"Alle Beteiligungen","Alle Koordinatoren","Alle Unternehmensgrößen","-2","Alle Organisationstypen",14,"Alle Expertevaluierungsstatus","-2","-2",$B19,"-2","Alle","-2","anzahl_beteiligungen")/_xll.PALO.DATAC("jedoxtest/EU_PM_CUBE02","EUPM_Mittel2_Cube",E$3,"Alle Beteiligungen","Alle Koordinatoren","Alle Unternehmensgrößen","-2","Alle Organisationstypen",5,"Alle Expertevaluierungsstatus","-2","-2",$B19,"-2","Alle","-2","anzahl_beteiligungen")</f>
        <v>0.13714778608395631</v>
      </c>
      <c r="F19" s="120">
        <f ca="1">_xll.PALO.DATAC("jedoxtest/EU_PM_CUBE02","EUPM_Mittel2_Cube",F$3,"Alle Beteiligungen","Alle Koordinatoren","Alle Unternehmensgrößen","-2","Alle Organisationstypen",14,"Alle Expertevaluierungsstatus","-2","-2",$B19,"-2","Alle","-2","anzahl_beteiligungen")/_xll.PALO.DATAC("jedoxtest/EU_PM_CUBE02","EUPM_Mittel2_Cube",F$3,"Alle Beteiligungen","Alle Koordinatoren","Alle Unternehmensgrößen","-2","Alle Organisationstypen",5,"Alle Expertevaluierungsstatus","-2","-2",$B19,"-2","Alle","-2","anzahl_beteiligungen")</f>
        <v>0.21629213483146068</v>
      </c>
    </row>
    <row r="20" spans="2:9" s="297" customFormat="1" ht="15" customHeight="1">
      <c r="B20" s="458">
        <v>1295</v>
      </c>
      <c r="C20" s="296" t="str">
        <f ca="1">_xll.PALO.DATAC("jedoxtest/EU_PM_CUBE02","#_Staatengruppen_und_NUTS","Langbezeichnung",B20)</f>
        <v>Litauen</v>
      </c>
      <c r="D20" s="120">
        <f ca="1">_xll.PALO.DATAC("jedoxtest/EU_PM_CUBE02","EUPM_Mittel2_Cube",D$3,"Alle Beteiligungen","Alle Koordinatoren","Alle Unternehmensgrößen","-2","Alle Organisationstypen",14,"Alle Expertevaluierungsstatus","-2","-2",$B20,"-2","Alle","-2","anzahl_beteiligungen")/_xll.PALO.DATAC("jedoxtest/EU_PM_CUBE02","EUPM_Mittel2_Cube",D$3,"Alle Beteiligungen","Alle Koordinatoren","Alle Unternehmensgrößen","-2","Alle Organisationstypen",5,"Alle Expertevaluierungsstatus","-2","-2",$B20,"-2","Alle","-2","anzahl_beteiligungen")</f>
        <v>0.16349977905435262</v>
      </c>
      <c r="E20" s="120">
        <f ca="1">_xll.PALO.DATAC("jedoxtest/EU_PM_CUBE02","EUPM_Mittel2_Cube",E$3,"Alle Beteiligungen","Alle Koordinatoren","Alle Unternehmensgrößen","-2","Alle Organisationstypen",14,"Alle Expertevaluierungsstatus","-2","-2",$B20,"-2","Alle","-2","anzahl_beteiligungen")/_xll.PALO.DATAC("jedoxtest/EU_PM_CUBE02","EUPM_Mittel2_Cube",E$3,"Alle Beteiligungen","Alle Koordinatoren","Alle Unternehmensgrößen","-2","Alle Organisationstypen",5,"Alle Expertevaluierungsstatus","-2","-2",$B20,"-2","Alle","-2","anzahl_beteiligungen")</f>
        <v>0.13017324350336862</v>
      </c>
      <c r="F20" s="120">
        <f ca="1">_xll.PALO.DATAC("jedoxtest/EU_PM_CUBE02","EUPM_Mittel2_Cube",F$3,"Alle Beteiligungen","Alle Koordinatoren","Alle Unternehmensgrößen","-2","Alle Organisationstypen",14,"Alle Expertevaluierungsstatus","-2","-2",$B20,"-2","Alle","-2","anzahl_beteiligungen")/_xll.PALO.DATAC("jedoxtest/EU_PM_CUBE02","EUPM_Mittel2_Cube",F$3,"Alle Beteiligungen","Alle Koordinatoren","Alle Unternehmensgrößen","-2","Alle Organisationstypen",5,"Alle Expertevaluierungsstatus","-2","-2",$B20,"-2","Alle","-2","anzahl_beteiligungen")</f>
        <v>0.19970845481049562</v>
      </c>
    </row>
    <row r="21" spans="2:9" s="297" customFormat="1" ht="15" customHeight="1">
      <c r="B21" s="458">
        <v>1311</v>
      </c>
      <c r="C21" s="296" t="str">
        <f ca="1">_xll.PALO.DATAC("jedoxtest/EU_PM_CUBE02","#_Staatengruppen_und_NUTS","Langbezeichnung",B21)</f>
        <v>Luxemburg</v>
      </c>
      <c r="D21" s="120">
        <f ca="1">_xll.PALO.DATAC("jedoxtest/EU_PM_CUBE02","EUPM_Mittel2_Cube",D$3,"Alle Beteiligungen","Alle Koordinatoren","Alle Unternehmensgrößen","-2","Alle Organisationstypen",14,"Alle Expertevaluierungsstatus","-2","-2",$B21,"-2","Alle","-2","anzahl_beteiligungen")/_xll.PALO.DATAC("jedoxtest/EU_PM_CUBE02","EUPM_Mittel2_Cube",D$3,"Alle Beteiligungen","Alle Koordinatoren","Alle Unternehmensgrößen","-2","Alle Organisationstypen",5,"Alle Expertevaluierungsstatus","-2","-2",$B21,"-2","Alle","-2","anzahl_beteiligungen")</f>
        <v>0.1755935946990613</v>
      </c>
      <c r="E21" s="120">
        <f ca="1">_xll.PALO.DATAC("jedoxtest/EU_PM_CUBE02","EUPM_Mittel2_Cube",E$3,"Alle Beteiligungen","Alle Koordinatoren","Alle Unternehmensgrößen","-2","Alle Organisationstypen",14,"Alle Expertevaluierungsstatus","-2","-2",$B21,"-2","Alle","-2","anzahl_beteiligungen")/_xll.PALO.DATAC("jedoxtest/EU_PM_CUBE02","EUPM_Mittel2_Cube",E$3,"Alle Beteiligungen","Alle Koordinatoren","Alle Unternehmensgrößen","-2","Alle Organisationstypen",5,"Alle Expertevaluierungsstatus","-2","-2",$B21,"-2","Alle","-2","anzahl_beteiligungen")</f>
        <v>0.16797346200241253</v>
      </c>
      <c r="F21" s="120">
        <f ca="1">_xll.PALO.DATAC("jedoxtest/EU_PM_CUBE02","EUPM_Mittel2_Cube",F$3,"Alle Beteiligungen","Alle Koordinatoren","Alle Unternehmensgrößen","-2","Alle Organisationstypen",14,"Alle Expertevaluierungsstatus","-2","-2",$B21,"-2","Alle","-2","anzahl_beteiligungen")/_xll.PALO.DATAC("jedoxtest/EU_PM_CUBE02","EUPM_Mittel2_Cube",F$3,"Alle Beteiligungen","Alle Koordinatoren","Alle Unternehmensgrößen","-2","Alle Organisationstypen",5,"Alle Expertevaluierungsstatus","-2","-2",$B21,"-2","Alle","-2","anzahl_beteiligungen")</f>
        <v>0.18618042226487524</v>
      </c>
    </row>
    <row r="22" spans="2:9" s="297" customFormat="1" ht="15" customHeight="1">
      <c r="B22" s="458">
        <v>1341</v>
      </c>
      <c r="C22" s="296" t="str">
        <f ca="1">_xll.PALO.DATAC("jedoxtest/EU_PM_CUBE02","#_Staatengruppen_und_NUTS","Langbezeichnung",B22)</f>
        <v>Malta</v>
      </c>
      <c r="D22" s="120">
        <f ca="1">_xll.PALO.DATAC("jedoxtest/EU_PM_CUBE02","EUPM_Mittel2_Cube",D$3,"Alle Beteiligungen","Alle Koordinatoren","Alle Unternehmensgrößen","-2","Alle Organisationstypen",14,"Alle Expertevaluierungsstatus","-2","-2",$B22,"-2","Alle","-2","anzahl_beteiligungen")/_xll.PALO.DATAC("jedoxtest/EU_PM_CUBE02","EUPM_Mittel2_Cube",D$3,"Alle Beteiligungen","Alle Koordinatoren","Alle Unternehmensgrößen","-2","Alle Organisationstypen",5,"Alle Expertevaluierungsstatus","-2","-2",$B22,"-2","Alle","-2","anzahl_beteiligungen")</f>
        <v>0.16717697489283528</v>
      </c>
      <c r="E22" s="120">
        <f ca="1">_xll.PALO.DATAC("jedoxtest/EU_PM_CUBE02","EUPM_Mittel2_Cube",E$3,"Alle Beteiligungen","Alle Koordinatoren","Alle Unternehmensgrößen","-2","Alle Organisationstypen",14,"Alle Expertevaluierungsstatus","-2","-2",$B22,"-2","Alle","-2","anzahl_beteiligungen")/_xll.PALO.DATAC("jedoxtest/EU_PM_CUBE02","EUPM_Mittel2_Cube",E$3,"Alle Beteiligungen","Alle Koordinatoren","Alle Unternehmensgrößen","-2","Alle Organisationstypen",5,"Alle Expertevaluierungsstatus","-2","-2",$B22,"-2","Alle","-2","anzahl_beteiligungen")</f>
        <v>0.13960639606396064</v>
      </c>
      <c r="F22" s="120">
        <f ca="1">_xll.PALO.DATAC("jedoxtest/EU_PM_CUBE02","EUPM_Mittel2_Cube",F$3,"Alle Beteiligungen","Alle Koordinatoren","Alle Unternehmensgrößen","-2","Alle Organisationstypen",14,"Alle Expertevaluierungsstatus","-2","-2",$B22,"-2","Alle","-2","anzahl_beteiligungen")/_xll.PALO.DATAC("jedoxtest/EU_PM_CUBE02","EUPM_Mittel2_Cube",F$3,"Alle Beteiligungen","Alle Koordinatoren","Alle Unternehmensgrößen","-2","Alle Organisationstypen",5,"Alle Expertevaluierungsstatus","-2","-2",$B22,"-2","Alle","-2","anzahl_beteiligungen")</f>
        <v>0.19008264462809918</v>
      </c>
    </row>
    <row r="23" spans="2:9" s="297" customFormat="1" ht="15" customHeight="1">
      <c r="B23" s="459">
        <v>1349</v>
      </c>
      <c r="C23" s="299" t="str">
        <f ca="1">_xll.PALO.DATAC("jedoxtest/EU_PM_CUBE02","#_Staatengruppen_und_NUTS","Langbezeichnung",B23)</f>
        <v>Niederlande</v>
      </c>
      <c r="D23" s="121">
        <f ca="1">_xll.PALO.DATAC("jedoxtest/EU_PM_CUBE02","EUPM_Mittel2_Cube",D$3,"Alle Beteiligungen","Alle Koordinatoren","Alle Unternehmensgrößen","-2","Alle Organisationstypen",14,"Alle Expertevaluierungsstatus","-2","-2",$B23,"-2","Alle","-2","anzahl_beteiligungen")/_xll.PALO.DATAC("jedoxtest/EU_PM_CUBE02","EUPM_Mittel2_Cube",D$3,"Alle Beteiligungen","Alle Koordinatoren","Alle Unternehmensgrößen","-2","Alle Organisationstypen",5,"Alle Expertevaluierungsstatus","-2","-2",$B23,"-2","Alle","-2","anzahl_beteiligungen")</f>
        <v>0.21090361753150672</v>
      </c>
      <c r="E23" s="121">
        <f ca="1">_xll.PALO.DATAC("jedoxtest/EU_PM_CUBE02","EUPM_Mittel2_Cube",E$3,"Alle Beteiligungen","Alle Koordinatoren","Alle Unternehmensgrößen","-2","Alle Organisationstypen",14,"Alle Expertevaluierungsstatus","-2","-2",$B23,"-2","Alle","-2","anzahl_beteiligungen")/_xll.PALO.DATAC("jedoxtest/EU_PM_CUBE02","EUPM_Mittel2_Cube",E$3,"Alle Beteiligungen","Alle Koordinatoren","Alle Unternehmensgrößen","-2","Alle Organisationstypen",5,"Alle Expertevaluierungsstatus","-2","-2",$B23,"-2","Alle","-2","anzahl_beteiligungen")</f>
        <v>0.17307451918784264</v>
      </c>
      <c r="F23" s="121">
        <f ca="1">_xll.PALO.DATAC("jedoxtest/EU_PM_CUBE02","EUPM_Mittel2_Cube",F$3,"Alle Beteiligungen","Alle Koordinatoren","Alle Unternehmensgrößen","-2","Alle Organisationstypen",14,"Alle Expertevaluierungsstatus","-2","-2",$B23,"-2","Alle","-2","anzahl_beteiligungen")/_xll.PALO.DATAC("jedoxtest/EU_PM_CUBE02","EUPM_Mittel2_Cube",F$3,"Alle Beteiligungen","Alle Koordinatoren","Alle Unternehmensgrößen","-2","Alle Organisationstypen",5,"Alle Expertevaluierungsstatus","-2","-2",$B23,"-2","Alle","-2","anzahl_beteiligungen")</f>
        <v>0.25597424976428129</v>
      </c>
    </row>
    <row r="24" spans="2:9" s="297" customFormat="1" ht="15" customHeight="1">
      <c r="B24" s="461">
        <v>1</v>
      </c>
      <c r="C24" s="515" t="str">
        <f ca="1">_xll.PALO.DATAC("jedoxtest/EU_PM_CUBE02","#_Staatengruppen_und_NUTS","Langbezeichnung",B24)</f>
        <v>Österreich</v>
      </c>
      <c r="D24" s="516">
        <f ca="1">_xll.PALO.DATAC("jedoxtest/EU_PM_CUBE02","EUPM_Mittel2_Cube",D$3,"Alle Beteiligungen","Alle Koordinatoren","Alle Unternehmensgrößen","-2","Alle Organisationstypen",14,"Alle Expertevaluierungsstatus","-2","-2",$B24,"-2","Alle","-2","anzahl_beteiligungen")/_xll.PALO.DATAC("jedoxtest/EU_PM_CUBE02","EUPM_Mittel2_Cube",D$3,"Alle Beteiligungen","Alle Koordinatoren","Alle Unternehmensgrößen","-2","Alle Organisationstypen",5,"Alle Expertevaluierungsstatus","-2","-2",$B24,"-2","Alle","-2","anzahl_beteiligungen")</f>
        <v>0.18853848762292302</v>
      </c>
      <c r="E24" s="516">
        <f ca="1">_xll.PALO.DATAC("jedoxtest/EU_PM_CUBE02","EUPM_Mittel2_Cube",E$3,"Alle Beteiligungen","Alle Koordinatoren","Alle Unternehmensgrößen","-2","Alle Organisationstypen",14,"Alle Expertevaluierungsstatus","-2","-2",$B24,"-2","Alle","-2","anzahl_beteiligungen")/_xll.PALO.DATAC("jedoxtest/EU_PM_CUBE02","EUPM_Mittel2_Cube",E$3,"Alle Beteiligungen","Alle Koordinatoren","Alle Unternehmensgrößen","-2","Alle Organisationstypen",5,"Alle Expertevaluierungsstatus","-2","-2",$B24,"-2","Alle","-2","anzahl_beteiligungen")</f>
        <v>0.17320745884372318</v>
      </c>
      <c r="F24" s="516">
        <f ca="1">_xll.PALO.DATAC("jedoxtest/EU_PM_CUBE02","EUPM_Mittel2_Cube",F$3,"Alle Beteiligungen","Alle Koordinatoren","Alle Unternehmensgrößen","-2","Alle Organisationstypen",14,"Alle Expertevaluierungsstatus","-2","-2",$B24,"-2","Alle","-2","anzahl_beteiligungen")/_xll.PALO.DATAC("jedoxtest/EU_PM_CUBE02","EUPM_Mittel2_Cube",F$3,"Alle Beteiligungen","Alle Koordinatoren","Alle Unternehmensgrößen","-2","Alle Organisationstypen",5,"Alle Expertevaluierungsstatus","-2","-2",$B24,"-2","Alle","-2","anzahl_beteiligungen")</f>
        <v>0.22384492830589484</v>
      </c>
      <c r="I24" s="297">
        <f ca="1">_xlfn.RANK.EQ(D24,D8:D34)</f>
        <v>7</v>
      </c>
    </row>
    <row r="25" spans="2:9" s="297" customFormat="1" ht="15" customHeight="1">
      <c r="B25" s="456">
        <v>1437</v>
      </c>
      <c r="C25" s="457" t="str">
        <f ca="1">_xll.PALO.DATAC("jedoxtest/EU_PM_CUBE02","#_Staatengruppen_und_NUTS","Langbezeichnung",B25)</f>
        <v>Polen</v>
      </c>
      <c r="D25" s="119">
        <f ca="1">_xll.PALO.DATAC("jedoxtest/EU_PM_CUBE02","EUPM_Mittel2_Cube",D$3,"Alle Beteiligungen","Alle Koordinatoren","Alle Unternehmensgrößen","-2","Alle Organisationstypen",14,"Alle Expertevaluierungsstatus","-2","-2",$B25,"-2","Alle","-2","anzahl_beteiligungen")/_xll.PALO.DATAC("jedoxtest/EU_PM_CUBE02","EUPM_Mittel2_Cube",D$3,"Alle Beteiligungen","Alle Koordinatoren","Alle Unternehmensgrößen","-2","Alle Organisationstypen",5,"Alle Expertevaluierungsstatus","-2","-2",$B25,"-2","Alle","-2","anzahl_beteiligungen")</f>
        <v>0.16243122871364946</v>
      </c>
      <c r="E25" s="119">
        <f ca="1">_xll.PALO.DATAC("jedoxtest/EU_PM_CUBE02","EUPM_Mittel2_Cube",E$3,"Alle Beteiligungen","Alle Koordinatoren","Alle Unternehmensgrößen","-2","Alle Organisationstypen",14,"Alle Expertevaluierungsstatus","-2","-2",$B25,"-2","Alle","-2","anzahl_beteiligungen")/_xll.PALO.DATAC("jedoxtest/EU_PM_CUBE02","EUPM_Mittel2_Cube",E$3,"Alle Beteiligungen","Alle Koordinatoren","Alle Unternehmensgrößen","-2","Alle Organisationstypen",5,"Alle Expertevaluierungsstatus","-2","-2",$B25,"-2","Alle","-2","anzahl_beteiligungen")</f>
        <v>0.1363735902770174</v>
      </c>
      <c r="F25" s="119">
        <f ca="1">_xll.PALO.DATAC("jedoxtest/EU_PM_CUBE02","EUPM_Mittel2_Cube",F$3,"Alle Beteiligungen","Alle Koordinatoren","Alle Unternehmensgrößen","-2","Alle Organisationstypen",14,"Alle Expertevaluierungsstatus","-2","-2",$B25,"-2","Alle","-2","anzahl_beteiligungen")/_xll.PALO.DATAC("jedoxtest/EU_PM_CUBE02","EUPM_Mittel2_Cube",F$3,"Alle Beteiligungen","Alle Koordinatoren","Alle Unternehmensgrößen","-2","Alle Organisationstypen",5,"Alle Expertevaluierungsstatus","-2","-2",$B25,"-2","Alle","-2","anzahl_beteiligungen")</f>
        <v>0.1856261778310776</v>
      </c>
    </row>
    <row r="26" spans="2:9" s="297" customFormat="1" ht="15" customHeight="1">
      <c r="B26" s="458">
        <v>1529</v>
      </c>
      <c r="C26" s="296" t="str">
        <f ca="1">_xll.PALO.DATAC("jedoxtest/EU_PM_CUBE02","#_Staatengruppen_und_NUTS","Langbezeichnung",B26)</f>
        <v>Portugal</v>
      </c>
      <c r="D26" s="120">
        <f ca="1">_xll.PALO.DATAC("jedoxtest/EU_PM_CUBE02","EUPM_Mittel2_Cube",D$3,"Alle Beteiligungen","Alle Koordinatoren","Alle Unternehmensgrößen","-2","Alle Organisationstypen",14,"Alle Expertevaluierungsstatus","-2","-2",$B26,"-2","Alle","-2","anzahl_beteiligungen")/_xll.PALO.DATAC("jedoxtest/EU_PM_CUBE02","EUPM_Mittel2_Cube",D$3,"Alle Beteiligungen","Alle Koordinatoren","Alle Unternehmensgrößen","-2","Alle Organisationstypen",5,"Alle Expertevaluierungsstatus","-2","-2",$B26,"-2","Alle","-2","anzahl_beteiligungen")</f>
        <v>0.1539212099036468</v>
      </c>
      <c r="E26" s="120">
        <f ca="1">_xll.PALO.DATAC("jedoxtest/EU_PM_CUBE02","EUPM_Mittel2_Cube",E$3,"Alle Beteiligungen","Alle Koordinatoren","Alle Unternehmensgrößen","-2","Alle Organisationstypen",14,"Alle Expertevaluierungsstatus","-2","-2",$B26,"-2","Alle","-2","anzahl_beteiligungen")/_xll.PALO.DATAC("jedoxtest/EU_PM_CUBE02","EUPM_Mittel2_Cube",E$3,"Alle Beteiligungen","Alle Koordinatoren","Alle Unternehmensgrößen","-2","Alle Organisationstypen",5,"Alle Expertevaluierungsstatus","-2","-2",$B26,"-2","Alle","-2","anzahl_beteiligungen")</f>
        <v>0.13019477959151488</v>
      </c>
      <c r="F26" s="120">
        <f ca="1">_xll.PALO.DATAC("jedoxtest/EU_PM_CUBE02","EUPM_Mittel2_Cube",F$3,"Alle Beteiligungen","Alle Koordinatoren","Alle Unternehmensgrößen","-2","Alle Organisationstypen",14,"Alle Expertevaluierungsstatus","-2","-2",$B26,"-2","Alle","-2","anzahl_beteiligungen")/_xll.PALO.DATAC("jedoxtest/EU_PM_CUBE02","EUPM_Mittel2_Cube",F$3,"Alle Beteiligungen","Alle Koordinatoren","Alle Unternehmensgrößen","-2","Alle Organisationstypen",5,"Alle Expertevaluierungsstatus","-2","-2",$B26,"-2","Alle","-2","anzahl_beteiligungen")</f>
        <v>0.18175037294878171</v>
      </c>
    </row>
    <row r="27" spans="2:9" s="297" customFormat="1" ht="15" customHeight="1">
      <c r="B27" s="458">
        <v>1573</v>
      </c>
      <c r="C27" s="296" t="str">
        <f ca="1">_xll.PALO.DATAC("jedoxtest/EU_PM_CUBE02","#_Staatengruppen_und_NUTS","Langbezeichnung",B27)</f>
        <v>Rumänien</v>
      </c>
      <c r="D27" s="120">
        <f ca="1">_xll.PALO.DATAC("jedoxtest/EU_PM_CUBE02","EUPM_Mittel2_Cube",D$3,"Alle Beteiligungen","Alle Koordinatoren","Alle Unternehmensgrößen","-2","Alle Organisationstypen",14,"Alle Expertevaluierungsstatus","-2","-2",$B27,"-2","Alle","-2","anzahl_beteiligungen")/_xll.PALO.DATAC("jedoxtest/EU_PM_CUBE02","EUPM_Mittel2_Cube",D$3,"Alle Beteiligungen","Alle Koordinatoren","Alle Unternehmensgrößen","-2","Alle Organisationstypen",5,"Alle Expertevaluierungsstatus","-2","-2",$B27,"-2","Alle","-2","anzahl_beteiligungen")</f>
        <v>0.14473045167557066</v>
      </c>
      <c r="E27" s="120">
        <f ca="1">_xll.PALO.DATAC("jedoxtest/EU_PM_CUBE02","EUPM_Mittel2_Cube",E$3,"Alle Beteiligungen","Alle Koordinatoren","Alle Unternehmensgrößen","-2","Alle Organisationstypen",14,"Alle Expertevaluierungsstatus","-2","-2",$B27,"-2","Alle","-2","anzahl_beteiligungen")/_xll.PALO.DATAC("jedoxtest/EU_PM_CUBE02","EUPM_Mittel2_Cube",E$3,"Alle Beteiligungen","Alle Koordinatoren","Alle Unternehmensgrößen","-2","Alle Organisationstypen",5,"Alle Expertevaluierungsstatus","-2","-2",$B27,"-2","Alle","-2","anzahl_beteiligungen")</f>
        <v>0.13053284465745701</v>
      </c>
      <c r="F27" s="120">
        <f ca="1">_xll.PALO.DATAC("jedoxtest/EU_PM_CUBE02","EUPM_Mittel2_Cube",F$3,"Alle Beteiligungen","Alle Koordinatoren","Alle Unternehmensgrößen","-2","Alle Organisationstypen",14,"Alle Expertevaluierungsstatus","-2","-2",$B27,"-2","Alle","-2","anzahl_beteiligungen")/_xll.PALO.DATAC("jedoxtest/EU_PM_CUBE02","EUPM_Mittel2_Cube",F$3,"Alle Beteiligungen","Alle Koordinatoren","Alle Unternehmensgrößen","-2","Alle Organisationstypen",5,"Alle Expertevaluierungsstatus","-2","-2",$B27,"-2","Alle","-2","anzahl_beteiligungen")</f>
        <v>0.14611805757487642</v>
      </c>
    </row>
    <row r="28" spans="2:9" s="297" customFormat="1" ht="15" customHeight="1">
      <c r="B28" s="458">
        <v>1631</v>
      </c>
      <c r="C28" s="296" t="str">
        <f ca="1">_xll.PALO.DATAC("jedoxtest/EU_PM_CUBE02","#_Staatengruppen_und_NUTS","Langbezeichnung",B28)</f>
        <v>Schweden</v>
      </c>
      <c r="D28" s="120">
        <f ca="1">_xll.PALO.DATAC("jedoxtest/EU_PM_CUBE02","EUPM_Mittel2_Cube",D$3,"Alle Beteiligungen","Alle Koordinatoren","Alle Unternehmensgrößen","-2","Alle Organisationstypen",14,"Alle Expertevaluierungsstatus","-2","-2",$B28,"-2","Alle","-2","anzahl_beteiligungen")/_xll.PALO.DATAC("jedoxtest/EU_PM_CUBE02","EUPM_Mittel2_Cube",D$3,"Alle Beteiligungen","Alle Koordinatoren","Alle Unternehmensgrößen","-2","Alle Organisationstypen",5,"Alle Expertevaluierungsstatus","-2","-2",$B28,"-2","Alle","-2","anzahl_beteiligungen")</f>
        <v>0.18346437931856088</v>
      </c>
      <c r="E28" s="120">
        <f ca="1">_xll.PALO.DATAC("jedoxtest/EU_PM_CUBE02","EUPM_Mittel2_Cube",E$3,"Alle Beteiligungen","Alle Koordinatoren","Alle Unternehmensgrößen","-2","Alle Organisationstypen",14,"Alle Expertevaluierungsstatus","-2","-2",$B28,"-2","Alle","-2","anzahl_beteiligungen")/_xll.PALO.DATAC("jedoxtest/EU_PM_CUBE02","EUPM_Mittel2_Cube",E$3,"Alle Beteiligungen","Alle Koordinatoren","Alle Unternehmensgrößen","-2","Alle Organisationstypen",5,"Alle Expertevaluierungsstatus","-2","-2",$B28,"-2","Alle","-2","anzahl_beteiligungen")</f>
        <v>0.15390352215329334</v>
      </c>
      <c r="F28" s="120">
        <f ca="1">_xll.PALO.DATAC("jedoxtest/EU_PM_CUBE02","EUPM_Mittel2_Cube",F$3,"Alle Beteiligungen","Alle Koordinatoren","Alle Unternehmensgrößen","-2","Alle Organisationstypen",14,"Alle Expertevaluierungsstatus","-2","-2",$B28,"-2","Alle","-2","anzahl_beteiligungen")/_xll.PALO.DATAC("jedoxtest/EU_PM_CUBE02","EUPM_Mittel2_Cube",F$3,"Alle Beteiligungen","Alle Koordinatoren","Alle Unternehmensgrößen","-2","Alle Organisationstypen",5,"Alle Expertevaluierungsstatus","-2","-2",$B28,"-2","Alle","-2","anzahl_beteiligungen")</f>
        <v>0.23613056124097814</v>
      </c>
    </row>
    <row r="29" spans="2:9" s="297" customFormat="1" ht="15" customHeight="1">
      <c r="B29" s="458">
        <v>1686</v>
      </c>
      <c r="C29" s="296" t="str">
        <f ca="1">_xll.PALO.DATAC("jedoxtest/EU_PM_CUBE02","#_Staatengruppen_und_NUTS","Langbezeichnung",B29)</f>
        <v>Slowakei</v>
      </c>
      <c r="D29" s="120">
        <f ca="1">_xll.PALO.DATAC("jedoxtest/EU_PM_CUBE02","EUPM_Mittel2_Cube",D$3,"Alle Beteiligungen","Alle Koordinatoren","Alle Unternehmensgrößen","-2","Alle Organisationstypen",14,"Alle Expertevaluierungsstatus","-2","-2",$B29,"-2","Alle","-2","anzahl_beteiligungen")/_xll.PALO.DATAC("jedoxtest/EU_PM_CUBE02","EUPM_Mittel2_Cube",D$3,"Alle Beteiligungen","Alle Koordinatoren","Alle Unternehmensgrößen","-2","Alle Organisationstypen",5,"Alle Expertevaluierungsstatus","-2","-2",$B29,"-2","Alle","-2","anzahl_beteiligungen")</f>
        <v>0.17979555021046301</v>
      </c>
      <c r="E29" s="120">
        <f ca="1">_xll.PALO.DATAC("jedoxtest/EU_PM_CUBE02","EUPM_Mittel2_Cube",E$3,"Alle Beteiligungen","Alle Koordinatoren","Alle Unternehmensgrößen","-2","Alle Organisationstypen",14,"Alle Expertevaluierungsstatus","-2","-2",$B29,"-2","Alle","-2","anzahl_beteiligungen")/_xll.PALO.DATAC("jedoxtest/EU_PM_CUBE02","EUPM_Mittel2_Cube",E$3,"Alle Beteiligungen","Alle Koordinatoren","Alle Unternehmensgrößen","-2","Alle Organisationstypen",5,"Alle Expertevaluierungsstatus","-2","-2",$B29,"-2","Alle","-2","anzahl_beteiligungen")</f>
        <v>0.13316865034807995</v>
      </c>
      <c r="F29" s="120">
        <f ca="1">_xll.PALO.DATAC("jedoxtest/EU_PM_CUBE02","EUPM_Mittel2_Cube",F$3,"Alle Beteiligungen","Alle Koordinatoren","Alle Unternehmensgrößen","-2","Alle Organisationstypen",14,"Alle Expertevaluierungsstatus","-2","-2",$B29,"-2","Alle","-2","anzahl_beteiligungen")/_xll.PALO.DATAC("jedoxtest/EU_PM_CUBE02","EUPM_Mittel2_Cube",F$3,"Alle Beteiligungen","Alle Koordinatoren","Alle Unternehmensgrößen","-2","Alle Organisationstypen",5,"Alle Expertevaluierungsstatus","-2","-2",$B29,"-2","Alle","-2","anzahl_beteiligungen")</f>
        <v>0.17951668584579977</v>
      </c>
    </row>
    <row r="30" spans="2:9" s="297" customFormat="1" ht="15" customHeight="1">
      <c r="B30" s="458">
        <v>1667</v>
      </c>
      <c r="C30" s="296" t="str">
        <f ca="1">_xll.PALO.DATAC("jedoxtest/EU_PM_CUBE02","#_Staatengruppen_und_NUTS","Langbezeichnung",B30)</f>
        <v>Slowenien</v>
      </c>
      <c r="D30" s="120">
        <f ca="1">_xll.PALO.DATAC("jedoxtest/EU_PM_CUBE02","EUPM_Mittel2_Cube",D$3,"Alle Beteiligungen","Alle Koordinatoren","Alle Unternehmensgrößen","-2","Alle Organisationstypen",14,"Alle Expertevaluierungsstatus","-2","-2",$B30,"-2","Alle","-2","anzahl_beteiligungen")/_xll.PALO.DATAC("jedoxtest/EU_PM_CUBE02","EUPM_Mittel2_Cube",D$3,"Alle Beteiligungen","Alle Koordinatoren","Alle Unternehmensgrößen","-2","Alle Organisationstypen",5,"Alle Expertevaluierungsstatus","-2","-2",$B30,"-2","Alle","-2","anzahl_beteiligungen")</f>
        <v>0.17641866330390921</v>
      </c>
      <c r="E30" s="120">
        <f ca="1">_xll.PALO.DATAC("jedoxtest/EU_PM_CUBE02","EUPM_Mittel2_Cube",E$3,"Alle Beteiligungen","Alle Koordinatoren","Alle Unternehmensgrößen","-2","Alle Organisationstypen",14,"Alle Expertevaluierungsstatus","-2","-2",$B30,"-2","Alle","-2","anzahl_beteiligungen")/_xll.PALO.DATAC("jedoxtest/EU_PM_CUBE02","EUPM_Mittel2_Cube",E$3,"Alle Beteiligungen","Alle Koordinatoren","Alle Unternehmensgrößen","-2","Alle Organisationstypen",5,"Alle Expertevaluierungsstatus","-2","-2",$B30,"-2","Alle","-2","anzahl_beteiligungen")</f>
        <v>0.11903167161037222</v>
      </c>
      <c r="F30" s="120">
        <f ca="1">_xll.PALO.DATAC("jedoxtest/EU_PM_CUBE02","EUPM_Mittel2_Cube",F$3,"Alle Beteiligungen","Alle Koordinatoren","Alle Unternehmensgrößen","-2","Alle Organisationstypen",14,"Alle Expertevaluierungsstatus","-2","-2",$B30,"-2","Alle","-2","anzahl_beteiligungen")/_xll.PALO.DATAC("jedoxtest/EU_PM_CUBE02","EUPM_Mittel2_Cube",F$3,"Alle Beteiligungen","Alle Koordinatoren","Alle Unternehmensgrößen","-2","Alle Organisationstypen",5,"Alle Expertevaluierungsstatus","-2","-2",$B30,"-2","Alle","-2","anzahl_beteiligungen")</f>
        <v>0.15564413843087516</v>
      </c>
    </row>
    <row r="31" spans="2:9" s="297" customFormat="1" ht="15" customHeight="1">
      <c r="B31" s="458">
        <v>815</v>
      </c>
      <c r="C31" s="296" t="str">
        <f ca="1">_xll.PALO.DATAC("jedoxtest/EU_PM_CUBE02","#_Staatengruppen_und_NUTS","Langbezeichnung",B31)</f>
        <v>Spanien</v>
      </c>
      <c r="D31" s="120">
        <f ca="1">_xll.PALO.DATAC("jedoxtest/EU_PM_CUBE02","EUPM_Mittel2_Cube",D$3,"Alle Beteiligungen","Alle Koordinatoren","Alle Unternehmensgrößen","-2","Alle Organisationstypen",14,"Alle Expertevaluierungsstatus","-2","-2",$B31,"-2","Alle","-2","anzahl_beteiligungen")/_xll.PALO.DATAC("jedoxtest/EU_PM_CUBE02","EUPM_Mittel2_Cube",D$3,"Alle Beteiligungen","Alle Koordinatoren","Alle Unternehmensgrößen","-2","Alle Organisationstypen",5,"Alle Expertevaluierungsstatus","-2","-2",$B31,"-2","Alle","-2","anzahl_beteiligungen")</f>
        <v>0.17733002408577961</v>
      </c>
      <c r="E31" s="120">
        <f ca="1">_xll.PALO.DATAC("jedoxtest/EU_PM_CUBE02","EUPM_Mittel2_Cube",E$3,"Alle Beteiligungen","Alle Koordinatoren","Alle Unternehmensgrößen","-2","Alle Organisationstypen",14,"Alle Expertevaluierungsstatus","-2","-2",$B31,"-2","Alle","-2","anzahl_beteiligungen")/_xll.PALO.DATAC("jedoxtest/EU_PM_CUBE02","EUPM_Mittel2_Cube",E$3,"Alle Beteiligungen","Alle Koordinatoren","Alle Unternehmensgrößen","-2","Alle Organisationstypen",5,"Alle Expertevaluierungsstatus","-2","-2",$B31,"-2","Alle","-2","anzahl_beteiligungen")</f>
        <v>0.14319155474412973</v>
      </c>
      <c r="F31" s="120">
        <f ca="1">_xll.PALO.DATAC("jedoxtest/EU_PM_CUBE02","EUPM_Mittel2_Cube",F$3,"Alle Beteiligungen","Alle Koordinatoren","Alle Unternehmensgrößen","-2","Alle Organisationstypen",14,"Alle Expertevaluierungsstatus","-2","-2",$B31,"-2","Alle","-2","anzahl_beteiligungen")/_xll.PALO.DATAC("jedoxtest/EU_PM_CUBE02","EUPM_Mittel2_Cube",F$3,"Alle Beteiligungen","Alle Koordinatoren","Alle Unternehmensgrößen","-2","Alle Organisationstypen",5,"Alle Expertevaluierungsstatus","-2","-2",$B31,"-2","Alle","-2","anzahl_beteiligungen")</f>
        <v>0.19083448560705371</v>
      </c>
    </row>
    <row r="32" spans="2:9" s="297" customFormat="1" ht="15" customHeight="1">
      <c r="B32" s="458">
        <v>196</v>
      </c>
      <c r="C32" s="296" t="str">
        <f ca="1">_xll.PALO.DATAC("jedoxtest/EU_PM_CUBE02","#_Staatengruppen_und_NUTS","Langbezeichnung",B32)</f>
        <v>Tschechische Republik</v>
      </c>
      <c r="D32" s="120">
        <f ca="1">_xll.PALO.DATAC("jedoxtest/EU_PM_CUBE02","EUPM_Mittel2_Cube",D$3,"Alle Beteiligungen","Alle Koordinatoren","Alle Unternehmensgrößen","-2","Alle Organisationstypen",14,"Alle Expertevaluierungsstatus","-2","-2",$B32,"-2","Alle","-2","anzahl_beteiligungen")/_xll.PALO.DATAC("jedoxtest/EU_PM_CUBE02","EUPM_Mittel2_Cube",D$3,"Alle Beteiligungen","Alle Koordinatoren","Alle Unternehmensgrößen","-2","Alle Organisationstypen",5,"Alle Expertevaluierungsstatus","-2","-2",$B32,"-2","Alle","-2","anzahl_beteiligungen")</f>
        <v>0.17763029474917041</v>
      </c>
      <c r="E32" s="120">
        <f ca="1">_xll.PALO.DATAC("jedoxtest/EU_PM_CUBE02","EUPM_Mittel2_Cube",E$3,"Alle Beteiligungen","Alle Koordinatoren","Alle Unternehmensgrößen","-2","Alle Organisationstypen",14,"Alle Expertevaluierungsstatus","-2","-2",$B32,"-2","Alle","-2","anzahl_beteiligungen")/_xll.PALO.DATAC("jedoxtest/EU_PM_CUBE02","EUPM_Mittel2_Cube",E$3,"Alle Beteiligungen","Alle Koordinatoren","Alle Unternehmensgrößen","-2","Alle Organisationstypen",5,"Alle Expertevaluierungsstatus","-2","-2",$B32,"-2","Alle","-2","anzahl_beteiligungen")</f>
        <v>0.15480529445616728</v>
      </c>
      <c r="F32" s="120">
        <f ca="1">_xll.PALO.DATAC("jedoxtest/EU_PM_CUBE02","EUPM_Mittel2_Cube",F$3,"Alle Beteiligungen","Alle Koordinatoren","Alle Unternehmensgrößen","-2","Alle Organisationstypen",14,"Alle Expertevaluierungsstatus","-2","-2",$B32,"-2","Alle","-2","anzahl_beteiligungen")/_xll.PALO.DATAC("jedoxtest/EU_PM_CUBE02","EUPM_Mittel2_Cube",F$3,"Alle Beteiligungen","Alle Koordinatoren","Alle Unternehmensgrößen","-2","Alle Organisationstypen",5,"Alle Expertevaluierungsstatus","-2","-2",$B32,"-2","Alle","-2","anzahl_beteiligungen")</f>
        <v>0.2033048096783712</v>
      </c>
    </row>
    <row r="33" spans="1:6" s="297" customFormat="1" ht="15" customHeight="1">
      <c r="B33" s="458">
        <v>1100</v>
      </c>
      <c r="C33" s="296" t="str">
        <f ca="1">_xll.PALO.DATAC("jedoxtest/EU_PM_CUBE02","#_Staatengruppen_und_NUTS","Langbezeichnung",B33)</f>
        <v>Ungarn</v>
      </c>
      <c r="D33" s="120">
        <f ca="1">_xll.PALO.DATAC("jedoxtest/EU_PM_CUBE02","EUPM_Mittel2_Cube",D$3,"Alle Beteiligungen","Alle Koordinatoren","Alle Unternehmensgrößen","-2","Alle Organisationstypen",14,"Alle Expertevaluierungsstatus","-2","-2",$B33,"-2","Alle","-2","anzahl_beteiligungen")/_xll.PALO.DATAC("jedoxtest/EU_PM_CUBE02","EUPM_Mittel2_Cube",D$3,"Alle Beteiligungen","Alle Koordinatoren","Alle Unternehmensgrößen","-2","Alle Organisationstypen",5,"Alle Expertevaluierungsstatus","-2","-2",$B33,"-2","Alle","-2","anzahl_beteiligungen")</f>
        <v>0.17295443410093092</v>
      </c>
      <c r="E33" s="120">
        <f ca="1">_xll.PALO.DATAC("jedoxtest/EU_PM_CUBE02","EUPM_Mittel2_Cube",E$3,"Alle Beteiligungen","Alle Koordinatoren","Alle Unternehmensgrößen","-2","Alle Organisationstypen",14,"Alle Expertevaluierungsstatus","-2","-2",$B33,"-2","Alle","-2","anzahl_beteiligungen")/_xll.PALO.DATAC("jedoxtest/EU_PM_CUBE02","EUPM_Mittel2_Cube",E$3,"Alle Beteiligungen","Alle Koordinatoren","Alle Unternehmensgrößen","-2","Alle Organisationstypen",5,"Alle Expertevaluierungsstatus","-2","-2",$B33,"-2","Alle","-2","anzahl_beteiligungen")</f>
        <v>0.12805972970418675</v>
      </c>
      <c r="F33" s="120">
        <f ca="1">_xll.PALO.DATAC("jedoxtest/EU_PM_CUBE02","EUPM_Mittel2_Cube",F$3,"Alle Beteiligungen","Alle Koordinatoren","Alle Unternehmensgrößen","-2","Alle Organisationstypen",14,"Alle Expertevaluierungsstatus","-2","-2",$B33,"-2","Alle","-2","anzahl_beteiligungen")/_xll.PALO.DATAC("jedoxtest/EU_PM_CUBE02","EUPM_Mittel2_Cube",F$3,"Alle Beteiligungen","Alle Koordinatoren","Alle Unternehmensgrößen","-2","Alle Organisationstypen",5,"Alle Expertevaluierungsstatus","-2","-2",$B33,"-2","Alle","-2","anzahl_beteiligungen")</f>
        <v>0.20294953321607359</v>
      </c>
    </row>
    <row r="34" spans="1:6" s="300" customFormat="1" ht="15" customHeight="1">
      <c r="B34" s="459">
        <v>189</v>
      </c>
      <c r="C34" s="299" t="str">
        <f ca="1">_xll.PALO.DATAC("jedoxtest/EU_PM_CUBE02","#_Staatengruppen_und_NUTS","Langbezeichnung",B34)</f>
        <v>Zypern</v>
      </c>
      <c r="D34" s="121">
        <f ca="1">_xll.PALO.DATAC("jedoxtest/EU_PM_CUBE02","EUPM_Mittel2_Cube",D$3,"Alle Beteiligungen","Alle Koordinatoren","Alle Unternehmensgrößen","-2","Alle Organisationstypen",14,"Alle Expertevaluierungsstatus","-2","-2",$B34,"-2","Alle","-2","anzahl_beteiligungen")/_xll.PALO.DATAC("jedoxtest/EU_PM_CUBE02","EUPM_Mittel2_Cube",D$3,"Alle Beteiligungen","Alle Koordinatoren","Alle Unternehmensgrößen","-2","Alle Organisationstypen",5,"Alle Expertevaluierungsstatus","-2","-2",$B34,"-2","Alle","-2","anzahl_beteiligungen")</f>
        <v>0.14440902113590742</v>
      </c>
      <c r="E34" s="121">
        <f ca="1">_xll.PALO.DATAC("jedoxtest/EU_PM_CUBE02","EUPM_Mittel2_Cube",E$3,"Alle Beteiligungen","Alle Koordinatoren","Alle Unternehmensgrößen","-2","Alle Organisationstypen",14,"Alle Expertevaluierungsstatus","-2","-2",$B34,"-2","Alle","-2","anzahl_beteiligungen")/_xll.PALO.DATAC("jedoxtest/EU_PM_CUBE02","EUPM_Mittel2_Cube",E$3,"Alle Beteiligungen","Alle Koordinatoren","Alle Unternehmensgrößen","-2","Alle Organisationstypen",5,"Alle Expertevaluierungsstatus","-2","-2",$B34,"-2","Alle","-2","anzahl_beteiligungen")</f>
        <v>0.13222021660649819</v>
      </c>
      <c r="F34" s="121">
        <f ca="1">_xll.PALO.DATAC("jedoxtest/EU_PM_CUBE02","EUPM_Mittel2_Cube",F$3,"Alle Beteiligungen","Alle Koordinatoren","Alle Unternehmensgrößen","-2","Alle Organisationstypen",14,"Alle Expertevaluierungsstatus","-2","-2",$B34,"-2","Alle","-2","anzahl_beteiligungen")/_xll.PALO.DATAC("jedoxtest/EU_PM_CUBE02","EUPM_Mittel2_Cube",F$3,"Alle Beteiligungen","Alle Koordinatoren","Alle Unternehmensgrößen","-2","Alle Organisationstypen",5,"Alle Expertevaluierungsstatus","-2","-2",$B34,"-2","Alle","-2","anzahl_beteiligungen")</f>
        <v>0.15055951169888099</v>
      </c>
    </row>
    <row r="35" spans="1:6" hidden="1">
      <c r="A35" s="74" t="b">
        <f ca="1">_xll.PALO.HIDEROW(ISBLANK($A$1))</f>
        <v>1</v>
      </c>
      <c r="B35" s="215">
        <v>10001</v>
      </c>
      <c r="C35" s="127" t="str">
        <f ca="1">_xll.PALO.DATAC("jedoxtest/EU_PM_CUBE02","#_Staatengruppen_und_NUTS","Langbezeichnung",B35)</f>
        <v>European Union (JRC)</v>
      </c>
      <c r="D35" s="454" t="e">
        <f ca="1">_xll.PALO.DATAC("jedoxtest/EU_PM_CUBE02","EUPM_Mittel2_Cube",D$3,"Alle Beteiligungen","Alle Koordinatoren","Alle Unternehmensgrößen","-2","Alle Organisationstypen",14,"Alle Expertevaluierungsstatus","-2","-2",$B35,"-2","Alle","-2","anzahl_beteiligungen")/_xll.PALO.DATAC("jedoxtest/EU_PM_CUBE02","EUPM_Mittel2_Cube",D$3,"Alle Beteiligungen","Alle Koordinatoren","Alle Unternehmensgrößen","-2","Alle Organisationstypen",5,"Alle Expertevaluierungsstatus","-2","-2",$B35,"-2","Alle","-2","anzahl_beteiligungen")</f>
        <v>#DIV/0!</v>
      </c>
      <c r="E35" s="454" t="e">
        <f ca="1">_xll.PALO.DATAC("jedoxtest/EU_PM_CUBE02","EUPM_Mittel2_Cube",E$3,"Alle Beteiligungen","Alle Koordinatoren","Alle Unternehmensgrößen","-2","Alle Organisationstypen",14,"Alle Expertevaluierungsstatus","-2","-2",$B35,"-2","Alle","-2","anzahl_beteiligungen")/_xll.PALO.DATAC("jedoxtest/EU_PM_CUBE02","EUPM_Mittel2_Cube",E$3,"Alle Beteiligungen","Alle Koordinatoren","Alle Unternehmensgrößen","-2","Alle Organisationstypen",5,"Alle Expertevaluierungsstatus","-2","-2",$B35,"-2","Alle","-2","anzahl_beteiligungen")</f>
        <v>#DIV/0!</v>
      </c>
      <c r="F35" s="454" t="e">
        <f ca="1">_xll.PALO.DATAC("jedoxtest/EU_PM_CUBE02","EUPM_Mittel2_Cube",F$3,"Alle Beteiligungen","Alle Koordinatoren","Alle Unternehmensgrößen","-2","Alle Organisationstypen",14,"Alle Expertevaluierungsstatus","-2","-2",$B35,"-2","Alle","-2","anzahl_beteiligungen")/_xll.PALO.DATAC("jedoxtest/EU_PM_CUBE02","EUPM_Mittel2_Cube",F$3,"Alle Beteiligungen","Alle Koordinatoren","Alle Unternehmensgrößen","-2","Alle Organisationstypen",5,"Alle Expertevaluierungsstatus","-2","-2",$B35,"-2","Alle","-2","anzahl_beteiligungen")</f>
        <v>#DIV/0!</v>
      </c>
    </row>
    <row r="36" spans="1:6" ht="15" customHeight="1">
      <c r="C36" s="352"/>
      <c r="D36" s="352"/>
      <c r="E36" s="352"/>
      <c r="F36" s="352"/>
    </row>
    <row r="37" spans="1:6" ht="15" customHeight="1">
      <c r="E37" s="740" t="str">
        <f ca="1">"Quelle: EC "&amp;_xll.PALO.DATA("jedoxtest/EU_PM_CUBE02","#_Datenstand","reference_month",Datenstand)&amp;"/"&amp;_xll.PALO.DATA("jedoxtest/EU_PM_CUBE02","#_Datenstand","reference_year",Datenstand)&amp;"; Darstellung FFG"</f>
        <v>Quelle: EC 5/2026; Darstellung FFG</v>
      </c>
      <c r="F37" s="740"/>
    </row>
    <row r="38" spans="1:6" ht="15" customHeight="1">
      <c r="E38" s="312"/>
      <c r="F38" s="312"/>
    </row>
    <row r="39" spans="1:6" ht="15" customHeight="1"/>
    <row r="41" spans="1:6" ht="15" hidden="1" customHeight="1">
      <c r="A41" s="74" t="b">
        <f ca="1">_xll.PALO.HIDEROW(ISBLANK($A$1))</f>
        <v>1</v>
      </c>
      <c r="C41" s="74" t="s">
        <v>191</v>
      </c>
    </row>
  </sheetData>
  <sortState xmlns:xlrd2="http://schemas.microsoft.com/office/spreadsheetml/2017/richdata2" ref="B10:F36">
    <sortCondition ref="C10:C36"/>
  </sortState>
  <mergeCells count="1">
    <mergeCell ref="E37:F37"/>
  </mergeCells>
  <pageMargins left="0.70866141732283472" right="0.70866141732283472" top="0.74803149606299213" bottom="0.74803149606299213" header="0.31496062992125984" footer="0.31496062992125984"/>
  <pageSetup paperSize="9" scale="92" orientation="portrait"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50">
    <tabColor rgb="FF92D050"/>
    <pageSetUpPr fitToPage="1"/>
  </sheetPr>
  <dimension ref="A1:E29"/>
  <sheetViews>
    <sheetView view="pageBreakPreview" zoomScale="60" zoomScaleNormal="100" workbookViewId="0">
      <selection activeCell="D23" sqref="D23"/>
    </sheetView>
  </sheetViews>
  <sheetFormatPr baseColWidth="10" defaultColWidth="11.42578125" defaultRowHeight="15"/>
  <cols>
    <col min="1" max="1" width="4" style="78" customWidth="1"/>
    <col min="2" max="2" width="3.7109375" style="78" customWidth="1"/>
    <col min="3" max="3" width="48.42578125" style="78" customWidth="1"/>
    <col min="4" max="4" width="49.42578125" style="132" customWidth="1"/>
    <col min="5" max="5" width="11.42578125" style="78"/>
    <col min="6" max="16384" width="11.42578125" style="79"/>
  </cols>
  <sheetData>
    <row r="1" spans="1:5" s="78" customFormat="1" ht="15" customHeight="1">
      <c r="A1" s="129"/>
      <c r="B1" s="129"/>
      <c r="C1" s="129"/>
      <c r="D1" s="129"/>
      <c r="E1" s="129"/>
    </row>
    <row r="2" spans="1:5" s="78" customFormat="1" ht="24.75" customHeight="1">
      <c r="A2" s="129"/>
      <c r="B2" s="194" t="s">
        <v>216</v>
      </c>
      <c r="C2" s="130"/>
      <c r="D2" s="130"/>
      <c r="E2" s="129"/>
    </row>
    <row r="3" spans="1:5" s="78" customFormat="1" ht="27" customHeight="1">
      <c r="A3" s="129"/>
      <c r="C3" s="131"/>
      <c r="E3" s="129"/>
    </row>
    <row r="4" spans="1:5" ht="16.5" customHeight="1">
      <c r="A4" s="129"/>
      <c r="C4" s="237" t="s">
        <v>217</v>
      </c>
      <c r="D4" s="237" t="s">
        <v>218</v>
      </c>
      <c r="E4" s="129"/>
    </row>
    <row r="5" spans="1:5">
      <c r="A5" s="129"/>
      <c r="C5" s="423" t="s">
        <v>206</v>
      </c>
      <c r="D5" s="133" t="s">
        <v>55</v>
      </c>
      <c r="E5" s="129"/>
    </row>
    <row r="6" spans="1:5">
      <c r="A6" s="129"/>
      <c r="C6" s="155" t="s">
        <v>207</v>
      </c>
      <c r="D6" s="155" t="s">
        <v>115</v>
      </c>
      <c r="E6" s="129"/>
    </row>
    <row r="7" spans="1:5">
      <c r="A7" s="129"/>
      <c r="C7" s="155" t="s">
        <v>208</v>
      </c>
      <c r="D7" s="155" t="s">
        <v>52</v>
      </c>
      <c r="E7" s="129"/>
    </row>
    <row r="8" spans="1:5">
      <c r="A8" s="129"/>
      <c r="C8" s="158" t="s">
        <v>291</v>
      </c>
      <c r="D8" s="158" t="s">
        <v>51</v>
      </c>
      <c r="E8" s="129"/>
    </row>
    <row r="9" spans="1:5">
      <c r="A9" s="129"/>
      <c r="C9" s="450"/>
      <c r="D9" s="451"/>
      <c r="E9" s="129"/>
    </row>
    <row r="10" spans="1:5" ht="30">
      <c r="A10" s="129"/>
      <c r="C10" s="133" t="s">
        <v>209</v>
      </c>
      <c r="D10" s="133" t="s">
        <v>228</v>
      </c>
      <c r="E10" s="129"/>
    </row>
    <row r="11" spans="1:5">
      <c r="A11" s="129"/>
      <c r="C11" s="155" t="s">
        <v>170</v>
      </c>
      <c r="D11" s="155" t="s">
        <v>219</v>
      </c>
      <c r="E11" s="129"/>
    </row>
    <row r="12" spans="1:5">
      <c r="A12" s="129"/>
      <c r="C12" s="155" t="s">
        <v>210</v>
      </c>
      <c r="D12" s="155" t="s">
        <v>223</v>
      </c>
      <c r="E12" s="129"/>
    </row>
    <row r="13" spans="1:5">
      <c r="A13" s="129"/>
      <c r="C13" s="155" t="s">
        <v>211</v>
      </c>
      <c r="D13" s="155" t="s">
        <v>211</v>
      </c>
      <c r="E13" s="129"/>
    </row>
    <row r="14" spans="1:5">
      <c r="A14" s="129"/>
      <c r="C14" s="155" t="s">
        <v>171</v>
      </c>
      <c r="D14" s="155" t="s">
        <v>220</v>
      </c>
      <c r="E14" s="129"/>
    </row>
    <row r="15" spans="1:5">
      <c r="A15" s="129"/>
      <c r="C15" s="155" t="s">
        <v>172</v>
      </c>
      <c r="D15" s="155" t="s">
        <v>221</v>
      </c>
      <c r="E15" s="129"/>
    </row>
    <row r="16" spans="1:5" ht="26.25">
      <c r="A16" s="129"/>
      <c r="C16" s="158" t="s">
        <v>322</v>
      </c>
      <c r="D16" s="158" t="s">
        <v>222</v>
      </c>
      <c r="E16" s="129"/>
    </row>
    <row r="17" spans="1:5">
      <c r="A17" s="129"/>
      <c r="C17" s="450"/>
      <c r="D17" s="451"/>
      <c r="E17" s="129"/>
    </row>
    <row r="18" spans="1:5">
      <c r="A18" s="129"/>
      <c r="C18" s="133" t="s">
        <v>212</v>
      </c>
      <c r="D18" s="133" t="s">
        <v>245</v>
      </c>
      <c r="E18" s="129"/>
    </row>
    <row r="19" spans="1:5">
      <c r="A19" s="129"/>
      <c r="C19" s="155" t="s">
        <v>323</v>
      </c>
      <c r="D19" s="155" t="s">
        <v>224</v>
      </c>
      <c r="E19" s="129"/>
    </row>
    <row r="20" spans="1:5">
      <c r="A20" s="129"/>
      <c r="C20" s="155" t="s">
        <v>288</v>
      </c>
      <c r="D20" s="155" t="s">
        <v>289</v>
      </c>
      <c r="E20" s="129"/>
    </row>
    <row r="21" spans="1:5">
      <c r="A21" s="129"/>
      <c r="C21" s="158" t="s">
        <v>324</v>
      </c>
      <c r="D21" s="158" t="s">
        <v>290</v>
      </c>
      <c r="E21" s="129"/>
    </row>
    <row r="22" spans="1:5">
      <c r="A22" s="129"/>
      <c r="C22" s="452"/>
      <c r="D22" s="453"/>
      <c r="E22" s="129"/>
    </row>
    <row r="23" spans="1:5" ht="30">
      <c r="A23" s="129"/>
      <c r="C23" s="133" t="s">
        <v>213</v>
      </c>
      <c r="D23" s="133" t="s">
        <v>225</v>
      </c>
      <c r="E23" s="129"/>
    </row>
    <row r="24" spans="1:5">
      <c r="A24" s="129"/>
      <c r="C24" s="155" t="s">
        <v>214</v>
      </c>
      <c r="D24" s="155" t="s">
        <v>226</v>
      </c>
      <c r="E24" s="129"/>
    </row>
    <row r="25" spans="1:5">
      <c r="A25" s="129"/>
      <c r="C25" s="158" t="s">
        <v>215</v>
      </c>
      <c r="D25" s="158" t="s">
        <v>227</v>
      </c>
      <c r="E25" s="129"/>
    </row>
    <row r="26" spans="1:5">
      <c r="A26" s="129"/>
      <c r="C26" s="452"/>
      <c r="D26" s="451"/>
      <c r="E26" s="129"/>
    </row>
    <row r="27" spans="1:5">
      <c r="C27" s="133" t="s">
        <v>8</v>
      </c>
      <c r="D27" s="133" t="s">
        <v>8</v>
      </c>
    </row>
    <row r="28" spans="1:5">
      <c r="C28" s="156" t="s">
        <v>50</v>
      </c>
      <c r="D28" s="155" t="s">
        <v>49</v>
      </c>
    </row>
    <row r="29" spans="1:5">
      <c r="C29" s="157" t="s">
        <v>48</v>
      </c>
      <c r="D29" s="158" t="s">
        <v>47</v>
      </c>
    </row>
  </sheetData>
  <pageMargins left="0.70866141732283472" right="0.70866141732283472" top="0.74803149606299213" bottom="0.70866141732283472" header="0.31496062992125984" footer="0.31496062992125984"/>
  <pageSetup paperSize="9" scale="85" fitToHeight="3" orientation="portrait" r:id="rId1"/>
  <headerFooter>
    <oddHeader>&amp;R&amp;G</oddHeader>
    <oddFooter>&amp;L&amp;7&amp;KA6A6A6Österreichische Forschungsförderungsgesellschaft mbH
Sensengasse 1, A-1090 Wien&amp;C&amp;7&amp;KA6A6A6EU-PM
&amp;D&amp;R&amp;7&amp;KA6A6A6Seite &amp;P von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00B0F0"/>
    <pageSetUpPr fitToPage="1"/>
  </sheetPr>
  <dimension ref="A1:L74"/>
  <sheetViews>
    <sheetView zoomScaleNormal="100" workbookViewId="0"/>
  </sheetViews>
  <sheetFormatPr baseColWidth="10" defaultColWidth="11.42578125" defaultRowHeight="15"/>
  <cols>
    <col min="1" max="1" width="9.140625" style="35" customWidth="1"/>
    <col min="2" max="2" width="11.42578125" style="35"/>
    <col min="3" max="3" width="39" style="35" customWidth="1"/>
    <col min="4" max="4" width="34.28515625" style="35" customWidth="1"/>
    <col min="5" max="5" width="24.140625" style="35" customWidth="1"/>
    <col min="6" max="6" width="14.42578125" style="35" customWidth="1"/>
    <col min="7" max="7" width="17.85546875" style="35" customWidth="1"/>
    <col min="8" max="16384" width="11.42578125" style="35"/>
  </cols>
  <sheetData>
    <row r="1" spans="2:5" ht="15" customHeight="1"/>
    <row r="2" spans="2:5" ht="51.75" customHeight="1">
      <c r="B2" s="702" t="str">
        <f ca="1">"Vergebene Förderung und geplantes Budget in "&amp;_xll.PALO.DATA("jedoxtest/EU_PM_CUBE02","#_Datenstand","frameworkprog_long",$C$59)</f>
        <v>Vergebene Förderung und geplantes Budget in Horizon Europe</v>
      </c>
      <c r="C2" s="703"/>
      <c r="D2" s="703"/>
      <c r="E2" s="703"/>
    </row>
    <row r="3" spans="2:5" ht="11.25" customHeight="1"/>
    <row r="4" spans="2:5" ht="21" customHeight="1">
      <c r="B4" s="704" t="str">
        <f ca="1">"Bisher in Verträgen dokumentiert: "&amp;TEXT($G$66,"#,0")&amp;" Milliarden Euro; Budget Horizon Europe: "&amp;TEXT($I$69,"#,0")&amp;" Milliarden Euro"</f>
        <v>Bisher in Verträgen dokumentiert: 58,3 Milliarden Euro; Budget Horizon Europe: 95,5 Milliarden Euro</v>
      </c>
      <c r="C4" s="704"/>
      <c r="D4" s="704"/>
      <c r="E4" s="704"/>
    </row>
    <row r="5" spans="2:5" ht="22.5" customHeight="1"/>
    <row r="6" spans="2:5" ht="15" customHeight="1"/>
    <row r="7" spans="2:5" ht="15" customHeight="1"/>
    <row r="8" spans="2:5" ht="15" customHeight="1"/>
    <row r="9" spans="2:5" ht="15" customHeight="1"/>
    <row r="10" spans="2:5" ht="15" customHeight="1"/>
    <row r="11" spans="2:5" ht="15" customHeight="1"/>
    <row r="12" spans="2:5" ht="15" customHeight="1"/>
    <row r="13" spans="2:5" ht="15" customHeight="1"/>
    <row r="14" spans="2:5" ht="15" customHeight="1"/>
    <row r="15" spans="2:5" ht="15" customHeight="1"/>
    <row r="16" spans="2:5" ht="15" customHeight="1"/>
    <row r="17" spans="1:7" ht="15" customHeight="1"/>
    <row r="18" spans="1:7" ht="15" customHeight="1"/>
    <row r="19" spans="1:7" ht="15" customHeight="1"/>
    <row r="20" spans="1:7" ht="15" customHeight="1"/>
    <row r="21" spans="1:7" ht="15" customHeight="1"/>
    <row r="22" spans="1:7" ht="15" customHeight="1"/>
    <row r="23" spans="1:7" ht="15" customHeight="1"/>
    <row r="24" spans="1:7" ht="15" customHeight="1"/>
    <row r="25" spans="1:7" ht="15" customHeight="1"/>
    <row r="26" spans="1:7" ht="15" customHeight="1"/>
    <row r="27" spans="1:7" ht="26.25" customHeight="1"/>
    <row r="28" spans="1:7" ht="19.5" customHeight="1">
      <c r="B28" s="345"/>
      <c r="C28" s="346"/>
      <c r="D28" s="346"/>
      <c r="E28" s="346"/>
    </row>
    <row r="29" spans="1:7" ht="21.75" customHeight="1"/>
    <row r="31" spans="1:7" ht="54" customHeight="1">
      <c r="A31" s="134"/>
      <c r="B31" s="344"/>
      <c r="C31" s="344"/>
      <c r="D31" s="344"/>
      <c r="E31" s="344"/>
      <c r="F31" s="134"/>
      <c r="G31" s="135"/>
    </row>
    <row r="32" spans="1:7" ht="107.25" customHeight="1">
      <c r="A32" s="136"/>
      <c r="B32" s="707" t="str">
        <f ca="1">"Bisher ist Förderung in Höhe von "&amp;TEXT($G$66,"#,0")&amp;" Milliarden Euro dokumentiert. Das Budget von Horizon Europe beträgt "&amp;TEXT($I$69,"#,0")&amp;" Milliarden Euro. 
Die bisher dokumentierte Förderung entspricht einem Anteil von "&amp;TEXT($I$71,"#%")&amp;"."</f>
        <v>Bisher ist Förderung in Höhe von 58,3 Milliarden Euro dokumentiert. Das Budget von Horizon Europe beträgt 95,5 Milliarden Euro. 
Die bisher dokumentierte Förderung entspricht einem Anteil von 61%.</v>
      </c>
      <c r="C32" s="707"/>
      <c r="D32" s="533"/>
      <c r="E32" s="533"/>
      <c r="F32" s="139"/>
      <c r="G32" s="139"/>
    </row>
    <row r="33" spans="1:7">
      <c r="A33" s="136"/>
      <c r="B33" s="137"/>
      <c r="C33" s="138"/>
      <c r="D33" s="139"/>
      <c r="E33" s="139"/>
      <c r="F33" s="139"/>
      <c r="G33" s="139"/>
    </row>
    <row r="34" spans="1:7">
      <c r="A34" s="136"/>
      <c r="B34" s="137"/>
      <c r="C34" s="138"/>
      <c r="D34" s="139"/>
      <c r="E34" s="139"/>
      <c r="F34" s="139"/>
      <c r="G34" s="139"/>
    </row>
    <row r="35" spans="1:7">
      <c r="A35" s="136"/>
      <c r="B35" s="137"/>
      <c r="C35" s="138"/>
      <c r="D35" s="139"/>
      <c r="E35" s="139"/>
      <c r="F35" s="139"/>
      <c r="G35" s="139"/>
    </row>
    <row r="36" spans="1:7">
      <c r="A36" s="136"/>
      <c r="B36" s="137"/>
      <c r="C36" s="138"/>
      <c r="D36" s="139"/>
      <c r="E36" s="139"/>
      <c r="F36" s="139"/>
      <c r="G36" s="139"/>
    </row>
    <row r="37" spans="1:7">
      <c r="A37" s="136"/>
      <c r="B37" s="137"/>
      <c r="C37" s="138"/>
      <c r="D37" s="139"/>
      <c r="E37" s="139"/>
      <c r="F37" s="139"/>
      <c r="G37" s="139"/>
    </row>
    <row r="38" spans="1:7">
      <c r="A38" s="134"/>
      <c r="B38" s="134"/>
      <c r="C38" s="140"/>
      <c r="D38" s="134"/>
      <c r="E38" s="134"/>
      <c r="F38" s="134"/>
      <c r="G38" s="134"/>
    </row>
    <row r="39" spans="1:7">
      <c r="A39" s="134"/>
      <c r="B39" s="134"/>
      <c r="C39" s="138"/>
      <c r="D39" s="134"/>
      <c r="E39" s="134"/>
      <c r="F39" s="134"/>
      <c r="G39" s="134"/>
    </row>
    <row r="40" spans="1:7">
      <c r="A40" s="134"/>
      <c r="B40" s="134"/>
      <c r="C40" s="138"/>
      <c r="D40" s="134"/>
      <c r="E40" s="134"/>
      <c r="F40" s="134"/>
      <c r="G40" s="134"/>
    </row>
    <row r="41" spans="1:7" hidden="1">
      <c r="A41" s="134"/>
      <c r="B41" s="134"/>
      <c r="C41" s="140"/>
      <c r="D41" s="134"/>
      <c r="E41" s="134"/>
      <c r="F41" s="134"/>
      <c r="G41" s="134"/>
    </row>
    <row r="42" spans="1:7" hidden="1">
      <c r="A42" s="134"/>
      <c r="B42" s="134"/>
      <c r="C42" s="134"/>
      <c r="D42" s="134"/>
      <c r="E42" s="134"/>
      <c r="F42" s="134"/>
      <c r="G42" s="134"/>
    </row>
    <row r="43" spans="1:7" hidden="1">
      <c r="A43" s="134"/>
      <c r="B43" s="134"/>
      <c r="C43" s="134"/>
      <c r="D43" s="141"/>
      <c r="E43" s="141"/>
      <c r="F43" s="141"/>
      <c r="G43" s="141"/>
    </row>
    <row r="44" spans="1:7" hidden="1">
      <c r="A44" s="136"/>
      <c r="B44" s="137"/>
      <c r="C44" s="134"/>
      <c r="D44" s="142"/>
      <c r="E44" s="142"/>
      <c r="F44" s="142"/>
      <c r="G44" s="142"/>
    </row>
    <row r="45" spans="1:7" hidden="1">
      <c r="A45" s="136"/>
      <c r="B45" s="137"/>
      <c r="C45" s="134"/>
      <c r="D45" s="142"/>
      <c r="E45" s="142"/>
      <c r="F45" s="142"/>
      <c r="G45" s="142"/>
    </row>
    <row r="46" spans="1:7" hidden="1">
      <c r="A46" s="136"/>
      <c r="B46" s="137"/>
      <c r="C46" s="134"/>
      <c r="D46" s="142"/>
      <c r="E46" s="142"/>
      <c r="F46" s="142"/>
      <c r="G46" s="142"/>
    </row>
    <row r="47" spans="1:7" hidden="1">
      <c r="A47" s="136"/>
      <c r="B47" s="137"/>
      <c r="C47" s="134"/>
      <c r="D47" s="142"/>
      <c r="E47" s="142"/>
      <c r="F47" s="142"/>
      <c r="G47" s="142"/>
    </row>
    <row r="48" spans="1:7" hidden="1">
      <c r="A48" s="136"/>
      <c r="B48" s="137"/>
      <c r="C48" s="134"/>
      <c r="D48" s="142"/>
      <c r="E48" s="142"/>
      <c r="F48" s="142"/>
      <c r="G48" s="142"/>
    </row>
    <row r="49" spans="1:12" hidden="1">
      <c r="A49" s="136"/>
      <c r="B49" s="137"/>
      <c r="C49" s="134"/>
      <c r="D49" s="142"/>
      <c r="E49" s="142"/>
      <c r="F49" s="142"/>
      <c r="G49" s="142"/>
    </row>
    <row r="50" spans="1:12" hidden="1"/>
    <row r="51" spans="1:12" hidden="1"/>
    <row r="52" spans="1:12" hidden="1"/>
    <row r="54" spans="1:12" s="41" customFormat="1">
      <c r="D54" s="705" t="str">
        <f ca="1">"Quelle: EC "&amp;_xll.PALO.DATA("jedoxtest/EU_PM_CUBE02","#_Datenstand","reference_month",$C$59)&amp;"/"&amp;_xll.PALO.DATA("jedoxtest/EU_PM_CUBE02","#_Datenstand","reference_year",$C$59)&amp;"; Darstellung FFG"</f>
        <v>Quelle: EC 5/2026; Darstellung FFG</v>
      </c>
      <c r="E54" s="706"/>
    </row>
    <row r="55" spans="1:12" s="41" customFormat="1" ht="15" customHeight="1">
      <c r="D55"/>
      <c r="E55"/>
    </row>
    <row r="56" spans="1:12" s="41" customFormat="1" ht="15" customHeight="1"/>
    <row r="59" spans="1:12" ht="15" customHeight="1">
      <c r="A59" s="44"/>
      <c r="B59" s="44"/>
      <c r="C59" s="61" t="str">
        <f ca="1">_xll.PALO.ENAME("jedoxtest/EU_PM_CUBE02","Datenstand",3)</f>
        <v>117</v>
      </c>
      <c r="D59" s="44"/>
      <c r="E59" s="44"/>
      <c r="F59" s="44"/>
      <c r="G59" s="44"/>
      <c r="H59" s="44"/>
      <c r="I59" s="44"/>
      <c r="J59" s="44"/>
    </row>
    <row r="60" spans="1:12" ht="15" customHeight="1">
      <c r="A60" s="44"/>
      <c r="B60" s="44"/>
      <c r="C60"/>
      <c r="D60" s="44"/>
      <c r="E60" s="44"/>
      <c r="F60" s="44" t="s">
        <v>9</v>
      </c>
      <c r="G60" s="44" t="s">
        <v>113</v>
      </c>
      <c r="H60" s="44" t="s">
        <v>189</v>
      </c>
      <c r="I60" s="44" t="s">
        <v>163</v>
      </c>
      <c r="J60" s="44"/>
      <c r="K60" s="475" t="s">
        <v>240</v>
      </c>
      <c r="L60" s="475" t="s">
        <v>241</v>
      </c>
    </row>
    <row r="61" spans="1:12" ht="15" customHeight="1">
      <c r="A61" s="44"/>
      <c r="B61" s="44"/>
      <c r="C61" s="44"/>
      <c r="D61" s="44">
        <v>6151</v>
      </c>
      <c r="E61" s="44" t="str">
        <f ca="1">_xll.PALO.DATAC("jedoxtest/EU_PM_CUBE02","#_Programme","Langbezeichnung",$D61)</f>
        <v>Excellent Science</v>
      </c>
      <c r="F61" s="44" t="str">
        <f ca="1">$E61</f>
        <v>Excellent Science</v>
      </c>
      <c r="G61" s="143">
        <f ca="1">_xll.PALO.DATAC("jedoxtest/EU_PM_CUBE02","EUPM_Mittel2_Cube",$C$59,"Alle Beteiligungen","Alle Koordinatoren","Alle Unternehmensgrößen","-2","Alle Organisationstypen",28,"Alle Expertevaluierungsstatus",$D61,"-2","-2","-2","Alle","-2","foerderung")/1000000</f>
        <v>16908.987494669902</v>
      </c>
      <c r="H61" s="44" t="str">
        <f ca="1">$E61</f>
        <v>Excellent Science</v>
      </c>
      <c r="I61" s="144">
        <v>25011</v>
      </c>
      <c r="J61" s="44"/>
      <c r="K61" s="69">
        <f ca="1">G61/SUM($G$61:$G$64)</f>
        <v>0.29005406435069059</v>
      </c>
      <c r="L61" s="69">
        <f>I61/SUM($I$61:$I$64)</f>
        <v>0.26184867615188917</v>
      </c>
    </row>
    <row r="62" spans="1:12" ht="15" customHeight="1">
      <c r="A62" s="44"/>
      <c r="B62" s="44"/>
      <c r="C62" s="44"/>
      <c r="D62" s="44">
        <v>6152</v>
      </c>
      <c r="E62" s="44" t="str">
        <f ca="1">_xll.PALO.DATAC("jedoxtest/EU_PM_CUBE02","#_Programme","Langbezeichnung",$D62)</f>
        <v>Global Challenges and European Industrial Competitiveness</v>
      </c>
      <c r="F62" s="44" t="str">
        <f t="shared" ref="F62:F65" ca="1" si="0">$E62</f>
        <v>Global Challenges and European Industrial Competitiveness</v>
      </c>
      <c r="G62" s="143">
        <f ca="1">_xll.PALO.DATAC("jedoxtest/EU_PM_CUBE02","EUPM_Mittel2_Cube",$C$59,"Alle Beteiligungen","Alle Koordinatoren","Alle Unternehmensgrößen","-2","Alle Organisationstypen",28,"Alle Expertevaluierungsstatus",$D62,"-2","-2","-2","Alle","-2","foerderung")/1000000</f>
        <v>33079.0634744204</v>
      </c>
      <c r="H62" s="44" t="str">
        <f t="shared" ref="H62:H65" ca="1" si="1">$E62</f>
        <v>Global Challenges and European Industrial Competitiveness</v>
      </c>
      <c r="I62" s="144">
        <v>53516</v>
      </c>
      <c r="J62" s="44"/>
      <c r="K62" s="69">
        <f t="shared" ref="K62:K65" ca="1" si="2">G62/SUM($G$61:$G$64)</f>
        <v>0.56743295887436107</v>
      </c>
      <c r="L62" s="69">
        <f t="shared" ref="L62:L64" si="3">I62/SUM($I$61:$I$64)</f>
        <v>0.56027722813739966</v>
      </c>
    </row>
    <row r="63" spans="1:12" ht="15" customHeight="1">
      <c r="A63" s="44"/>
      <c r="B63" s="44"/>
      <c r="C63" s="44"/>
      <c r="D63" s="44">
        <v>6153</v>
      </c>
      <c r="E63" s="44" t="str">
        <f ca="1">_xll.PALO.DATAC("jedoxtest/EU_PM_CUBE02","#_Programme","Langbezeichnung",$D63)</f>
        <v>Innovative Europe</v>
      </c>
      <c r="F63" s="44" t="str">
        <f t="shared" ca="1" si="0"/>
        <v>Innovative Europe</v>
      </c>
      <c r="G63" s="143">
        <f ca="1">_xll.PALO.DATAC("jedoxtest/EU_PM_CUBE02","EUPM_Mittel2_Cube",$C$59,"Alle Beteiligungen","Alle Koordinatoren","Alle Unternehmensgrößen","-2","Alle Organisationstypen",28,"Alle Expertevaluierungsstatus",$D63,"-2","-2","-2","Alle","-2","foerderung")/1000000</f>
        <v>6418.8010401500105</v>
      </c>
      <c r="H63" s="44" t="str">
        <f t="shared" ca="1" si="1"/>
        <v>Innovative Europe</v>
      </c>
      <c r="I63" s="144">
        <v>13597</v>
      </c>
      <c r="J63" s="44"/>
      <c r="K63" s="69">
        <f t="shared" ca="1" si="2"/>
        <v>0.11010708539117628</v>
      </c>
      <c r="L63" s="69">
        <f t="shared" si="3"/>
        <v>0.14235162327125014</v>
      </c>
    </row>
    <row r="64" spans="1:12" ht="15" customHeight="1">
      <c r="A64" s="44"/>
      <c r="B64" s="44"/>
      <c r="C64" s="44"/>
      <c r="D64" s="44">
        <v>6154</v>
      </c>
      <c r="E64" s="44" t="str">
        <f ca="1">_xll.PALO.DATAC("jedoxtest/EU_PM_CUBE02","#_Programme","Langbezeichnung",$D64)</f>
        <v>Widening Participation and Strengthening the European Research Area</v>
      </c>
      <c r="F64" s="44" t="str">
        <f t="shared" ca="1" si="0"/>
        <v>Widening Participation and Strengthening the European Research Area</v>
      </c>
      <c r="G64" s="143">
        <f ca="1">_xll.PALO.DATAC("jedoxtest/EU_PM_CUBE02","EUPM_Mittel2_Cube",$C$59,"Alle Beteiligungen","Alle Koordinatoren","Alle Unternehmensgrößen","-2","Alle Organisationstypen",28,"Alle Expertevaluierungsstatus",$D64,"-2","-2","-2","Alle","-2","foerderung")/1000000</f>
        <v>1889.13337032</v>
      </c>
      <c r="H64" s="44" t="str">
        <f t="shared" ca="1" si="1"/>
        <v>Widening Participation and Strengthening the European Research Area</v>
      </c>
      <c r="I64" s="144">
        <v>3393</v>
      </c>
      <c r="J64" s="44"/>
      <c r="K64" s="69">
        <f t="shared" ca="1" si="2"/>
        <v>3.2405891383772145E-2</v>
      </c>
      <c r="L64" s="69">
        <f t="shared" si="3"/>
        <v>3.5522472439461036E-2</v>
      </c>
    </row>
    <row r="65" spans="1:12" ht="15" customHeight="1">
      <c r="A65" s="44"/>
      <c r="B65" s="44"/>
      <c r="C65" s="44"/>
      <c r="D65" s="44">
        <v>6150</v>
      </c>
      <c r="E65" s="44" t="str">
        <f ca="1">_xll.PALO.DATAC("jedoxtest/EU_PM_CUBE02","#_Programme","Langbezeichnung",$D65)&amp;" 2021-2025"</f>
        <v>Euratom 2021-2025</v>
      </c>
      <c r="F65" s="44" t="str">
        <f t="shared" ca="1" si="0"/>
        <v>Euratom 2021-2025</v>
      </c>
      <c r="G65" s="143">
        <f ca="1">_xll.PALO.DATAC("jedoxtest/EU_PM_CUBE02","EUPM_Mittel2_Cube",$C$59,"Alle Beteiligungen","Alle Koordinatoren","Alle Unternehmensgrößen","-2","Alle Organisationstypen",28,"Alle Expertevaluierungsstatus",$D65,"-2","-2","-2","Alle","-2","foerderung")/1000000</f>
        <v>0</v>
      </c>
      <c r="H65" s="44" t="str">
        <f t="shared" ca="1" si="1"/>
        <v>Euratom 2021-2025</v>
      </c>
      <c r="I65" s="144">
        <v>1382</v>
      </c>
      <c r="J65" s="44"/>
      <c r="K65" s="69">
        <f t="shared" ca="1" si="2"/>
        <v>0</v>
      </c>
      <c r="L65" s="69"/>
    </row>
    <row r="66" spans="1:12" ht="15" customHeight="1">
      <c r="A66" s="44"/>
      <c r="B66" s="44"/>
      <c r="C66" s="44"/>
      <c r="D66" s="44"/>
      <c r="E66" s="44"/>
      <c r="F66" s="44"/>
      <c r="G66" s="144">
        <f ca="1">SUM($G$61:$G$65)/1000</f>
        <v>58.295985379560307</v>
      </c>
      <c r="H66" s="44"/>
      <c r="I66" s="144">
        <f>SUM(I61:I65)/1000</f>
        <v>96.899000000000001</v>
      </c>
      <c r="J66" s="44"/>
    </row>
    <row r="67" spans="1:12">
      <c r="A67" s="44"/>
      <c r="B67" s="44"/>
      <c r="C67" s="44"/>
      <c r="D67" s="44"/>
      <c r="E67" s="44" t="s">
        <v>337</v>
      </c>
      <c r="F67" s="44" t="s">
        <v>338</v>
      </c>
      <c r="G67" s="44">
        <v>2.1</v>
      </c>
      <c r="H67" s="44"/>
      <c r="I67" s="44"/>
      <c r="J67" s="44"/>
    </row>
    <row r="68" spans="1:12">
      <c r="A68" s="44"/>
      <c r="B68" s="44"/>
      <c r="C68" s="44"/>
      <c r="D68" s="44"/>
      <c r="E68" s="44"/>
      <c r="F68" s="44"/>
      <c r="G68" s="44"/>
      <c r="H68" s="44" t="s">
        <v>190</v>
      </c>
      <c r="I68" s="144">
        <f>SUM(I61:I64)</f>
        <v>95517</v>
      </c>
      <c r="J68" s="44"/>
    </row>
    <row r="69" spans="1:12">
      <c r="I69" s="35">
        <f>I68/1000</f>
        <v>95.516999999999996</v>
      </c>
    </row>
    <row r="71" spans="1:12">
      <c r="B71" s="704" t="str">
        <f ca="1">"Bisher dokumentiert: "&amp;TEXT($G$66,"#,0")&amp;" Milliarden Euro; Budget Horizon Europe: "&amp;TEXT($I$66,"#,0")&amp;" Milliarden Euro (inkl. Euratom 2021-2025)"</f>
        <v>Bisher dokumentiert: 58,3 Milliarden Euro; Budget Horizon Europe: 96,9 Milliarden Euro (inkl. Euratom 2021-2025)</v>
      </c>
      <c r="C71" s="704"/>
      <c r="D71" s="704"/>
      <c r="E71" s="704"/>
      <c r="F71" s="35" t="s">
        <v>339</v>
      </c>
      <c r="G71" s="35">
        <f>I69-G67</f>
        <v>93.417000000000002</v>
      </c>
      <c r="H71" s="35" t="s">
        <v>261</v>
      </c>
      <c r="I71" s="69">
        <f ca="1">G66/I69</f>
        <v>0.61032052283426308</v>
      </c>
    </row>
    <row r="72" spans="1:12">
      <c r="F72" s="35" t="s">
        <v>340</v>
      </c>
      <c r="G72" s="616">
        <f ca="1">G66/G71</f>
        <v>0.62404043567616496</v>
      </c>
      <c r="H72" s="35" t="s">
        <v>260</v>
      </c>
      <c r="I72" s="534">
        <f ca="1">1-I71</f>
        <v>0.38967947716573692</v>
      </c>
    </row>
    <row r="73" spans="1:12">
      <c r="F73" s="35" t="s">
        <v>342</v>
      </c>
    </row>
    <row r="74" spans="1:12">
      <c r="F74" s="61" t="s">
        <v>341</v>
      </c>
      <c r="G74" s="69">
        <f>G67/I69</f>
        <v>2.1985615126103208E-2</v>
      </c>
    </row>
  </sheetData>
  <mergeCells count="5">
    <mergeCell ref="B2:E2"/>
    <mergeCell ref="B4:E4"/>
    <mergeCell ref="D54:E54"/>
    <mergeCell ref="B71:E71"/>
    <mergeCell ref="B32:C32"/>
  </mergeCells>
  <pageMargins left="0.70866141732283472" right="0.70866141732283472" top="0.74803149606299213" bottom="0.74803149606299213" header="0.31496062992125984" footer="0.31496062992125984"/>
  <pageSetup paperSize="9" scale="80" orientation="portrait" r:id="rId1"/>
  <headerFooter>
    <oddHeader>&amp;R&amp;G</oddHeader>
    <oddFooter>&amp;L&amp;"Calibri Light,Standard"&amp;7&amp;KA6A6A6Österreichische Forschungsförderungsgesellschaft mbH
Sensengasse 1, A-1090 Wien&amp;C&amp;"Calibri Light,Standard"&amp;7&amp;KA6A6A6EU-PM
&amp;D&amp;R&amp;7&amp;KA6A6A6Seite &amp;P von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0">
    <tabColor rgb="FF00B0F0"/>
    <pageSetUpPr fitToPage="1"/>
  </sheetPr>
  <dimension ref="A1:Q48"/>
  <sheetViews>
    <sheetView zoomScaleNormal="100" workbookViewId="0">
      <selection activeCell="C2" sqref="C2"/>
    </sheetView>
  </sheetViews>
  <sheetFormatPr baseColWidth="10" defaultColWidth="11.42578125" defaultRowHeight="15"/>
  <cols>
    <col min="1" max="1" width="4.140625" style="35" customWidth="1"/>
    <col min="2" max="2" width="6.5703125" style="35" hidden="1" customWidth="1"/>
    <col min="3" max="3" width="56.28515625" style="35" customWidth="1"/>
    <col min="4" max="7" width="11.7109375" style="35" customWidth="1"/>
    <col min="8" max="8" width="11.28515625" style="35" customWidth="1"/>
    <col min="9" max="9" width="11.7109375" style="35" customWidth="1"/>
    <col min="10" max="10" width="11.42578125" style="61"/>
    <col min="11" max="12" width="14.42578125" style="61" customWidth="1"/>
    <col min="13" max="13" width="13.28515625" style="61" customWidth="1"/>
    <col min="14" max="14" width="13.42578125" style="61" customWidth="1"/>
    <col min="15" max="15" width="11.140625" style="61" customWidth="1"/>
    <col min="16" max="16384" width="11.42578125" style="61"/>
  </cols>
  <sheetData>
    <row r="1" spans="1:9" ht="14.25" customHeight="1">
      <c r="B1" s="35" t="b">
        <f ca="1">_xll.PALO.HIDECOLUMN(ISBLANK($A$1))</f>
        <v>1</v>
      </c>
    </row>
    <row r="2" spans="1:9" ht="27" customHeight="1">
      <c r="C2" s="168" t="str">
        <f ca="1">"Österreich in "&amp;_xll.PALO.DATA("jedoxtest/EU_PM_CUBE02","#_Datenstand","frameworkprog_long",Bet_AT_Saeulen_Datenstand)&amp;" nach Säulen"</f>
        <v>Österreich in Horizon Europe nach Säulen</v>
      </c>
      <c r="D2" s="111"/>
      <c r="E2" s="111"/>
      <c r="F2" s="111"/>
      <c r="G2" s="111"/>
    </row>
    <row r="3" spans="1:9" ht="6.75" customHeight="1">
      <c r="C3" s="708"/>
      <c r="D3" s="708"/>
      <c r="E3" s="708"/>
      <c r="F3" s="708"/>
      <c r="G3" s="708"/>
    </row>
    <row r="4" spans="1:9" ht="6" customHeight="1"/>
    <row r="5" spans="1:9" s="62" customFormat="1" ht="19.5" customHeight="1">
      <c r="A5" s="41"/>
      <c r="B5" s="41"/>
      <c r="C5" s="146"/>
      <c r="D5" s="147"/>
      <c r="E5" s="147"/>
      <c r="F5" s="147"/>
      <c r="G5" s="147"/>
      <c r="H5" s="41"/>
      <c r="I5" s="41"/>
    </row>
    <row r="6" spans="1:9" s="62" customFormat="1" ht="12" customHeight="1">
      <c r="A6" s="41"/>
      <c r="B6" s="41"/>
      <c r="C6" s="41"/>
      <c r="D6" s="41"/>
      <c r="E6" s="41"/>
      <c r="F6" s="41"/>
      <c r="G6" s="41"/>
      <c r="H6" s="41"/>
      <c r="I6" s="41"/>
    </row>
    <row r="7" spans="1:9" s="62" customFormat="1" ht="15" customHeight="1">
      <c r="A7" s="41"/>
      <c r="B7" s="41"/>
      <c r="C7" s="41"/>
      <c r="D7" s="122"/>
      <c r="E7" s="41"/>
      <c r="F7" s="41"/>
      <c r="G7" s="41"/>
      <c r="H7" s="41"/>
      <c r="I7" s="41"/>
    </row>
    <row r="8" spans="1:9" s="62" customFormat="1" ht="15" customHeight="1">
      <c r="A8" s="41"/>
      <c r="B8" s="41"/>
      <c r="C8" s="42" t="str">
        <f ca="1">_xll.PALO.DATAC("jedoxtest/EU_PM_CUBE02","#_Programme","Langbezeichnung",-2)</f>
        <v>Alle Themen</v>
      </c>
      <c r="D8" s="42" t="str">
        <f ca="1">"Beteiligungen "&amp;TEXT($E$8,"#.000")</f>
        <v>Beteiligungen 3.919</v>
      </c>
      <c r="E8" s="122">
        <f ca="1">_xll.PALO.DATAC("jedoxtest/EU_PM_CUBE02","EUPM_Mittel2_Cube",Bet_AT_Saeulen_Datenstand,"Alle Beteiligungen","Alle Koordinatoren","Alle Unternehmensgrößen","-2","Alle Organisationstypen",28,"Alle Expertevaluierungsstatus","-2","-2",1,"-2","Alle","-2","anzahl_beteiligungen")</f>
        <v>3919</v>
      </c>
      <c r="F8" s="41" t="str">
        <f ca="1">"Förderung "&amp;TEXT($G$8,"#.000,00")&amp;" Mio.€"</f>
        <v>Förderung 1.856,20 Mio.€</v>
      </c>
      <c r="G8" s="42">
        <f ca="1">ROUND(_xll.PALO.DATAC("jedoxtest/EU_PM_CUBE02","EUPM_Mittel2_Cube",Bet_AT_Saeulen_Datenstand,"Alle Beteiligungen","Alle Koordinatoren","Alle Unternehmensgrößen","-2","Alle Organisationstypen",28,"Alle Expertevaluierungsstatus","-2","-2",1,"-2","Alle","-2","foerderung")/1000000,2)</f>
        <v>1856.2</v>
      </c>
      <c r="H8" s="41"/>
      <c r="I8" s="41"/>
    </row>
    <row r="9" spans="1:9" s="62" customFormat="1" ht="15" customHeight="1">
      <c r="A9" s="41"/>
      <c r="B9" s="44">
        <v>6151</v>
      </c>
      <c r="C9" s="44" t="str">
        <f ca="1">_xll.PALO.DATAC("jedoxtest/EU_PM_CUBE02","#_Programme","Langbezeichnung",$B9)</f>
        <v>Excellent Science</v>
      </c>
      <c r="D9" s="148">
        <f t="shared" ref="D9:D13" ca="1" si="0">E9/$E$8</f>
        <v>0.29191120183720337</v>
      </c>
      <c r="E9" s="122">
        <f ca="1">_xll.PALO.DATAC("jedoxtest/EU_PM_CUBE02","EUPM_Mittel2_Cube",Bet_AT_Saeulen_Datenstand,"Alle Beteiligungen","Alle Koordinatoren","Alle Unternehmensgrößen","-2","Alle Organisationstypen",28,"Alle Expertevaluierungsstatus",$B9,"-2",1,"-2","Alle","-2","anzahl_beteiligungen")</f>
        <v>1144</v>
      </c>
      <c r="F9" s="148">
        <f ca="1">G9/$G$8</f>
        <v>0.3284721473979097</v>
      </c>
      <c r="G9" s="42">
        <f ca="1">ROUND(_xll.PALO.DATAC("jedoxtest/EU_PM_CUBE02","EUPM_Mittel2_Cube",Bet_AT_Saeulen_Datenstand,"Alle Beteiligungen","Alle Koordinatoren","Alle Unternehmensgrößen","-2","Alle Organisationstypen",28,"Alle Expertevaluierungsstatus",$B9,"-2",1,"-2","Alle","-2","foerderung")/1000000,2)</f>
        <v>609.71</v>
      </c>
      <c r="H9" s="41"/>
      <c r="I9" s="41"/>
    </row>
    <row r="10" spans="1:9" s="62" customFormat="1" ht="15" customHeight="1">
      <c r="A10" s="41"/>
      <c r="B10" s="44">
        <v>6152</v>
      </c>
      <c r="C10" s="44" t="s">
        <v>165</v>
      </c>
      <c r="D10" s="148">
        <f t="shared" ca="1" si="0"/>
        <v>0.6368971676448073</v>
      </c>
      <c r="E10" s="122">
        <f ca="1">_xll.PALO.DATAC("jedoxtest/EU_PM_CUBE02","EUPM_Mittel2_Cube",Bet_AT_Saeulen_Datenstand,"Alle Beteiligungen","Alle Koordinatoren","Alle Unternehmensgrößen","-2","Alle Organisationstypen",28,"Alle Expertevaluierungsstatus",$B10,"-2",1,"-2","Alle","-2","anzahl_beteiligungen")</f>
        <v>2496</v>
      </c>
      <c r="F10" s="148">
        <f t="shared" ref="F10:F13" ca="1" si="1">G10/$G$8</f>
        <v>0.59232841288654237</v>
      </c>
      <c r="G10" s="42">
        <f ca="1">ROUND(_xll.PALO.DATAC("jedoxtest/EU_PM_CUBE02","EUPM_Mittel2_Cube",Bet_AT_Saeulen_Datenstand,"Alle Beteiligungen","Alle Koordinatoren","Alle Unternehmensgrößen","-2","Alle Organisationstypen",28,"Alle Expertevaluierungsstatus",$B10,"-2",1,"-2","Alle","-2","foerderung")/1000000,2)</f>
        <v>1099.48</v>
      </c>
      <c r="H10" s="41"/>
      <c r="I10" s="41"/>
    </row>
    <row r="11" spans="1:9" s="62" customFormat="1" ht="15" customHeight="1">
      <c r="A11" s="41"/>
      <c r="B11" s="44">
        <v>6153</v>
      </c>
      <c r="C11" s="44" t="str">
        <f ca="1">_xll.PALO.DATAC("jedoxtest/EU_PM_CUBE02","#_Programme","Langbezeichnung",$B11)</f>
        <v>Innovative Europe</v>
      </c>
      <c r="D11" s="148">
        <f t="shared" ca="1" si="0"/>
        <v>4.3123245725950499E-2</v>
      </c>
      <c r="E11" s="122">
        <f ca="1">_xll.PALO.DATAC("jedoxtest/EU_PM_CUBE02","EUPM_Mittel2_Cube",Bet_AT_Saeulen_Datenstand,"Alle Beteiligungen","Alle Koordinatoren","Alle Unternehmensgrößen","-2","Alle Organisationstypen",28,"Alle Expertevaluierungsstatus",$B11,"-2",1,"-2","Alle","-2","anzahl_beteiligungen")</f>
        <v>169</v>
      </c>
      <c r="F11" s="148">
        <f t="shared" ca="1" si="1"/>
        <v>6.4842150630320006E-2</v>
      </c>
      <c r="G11" s="42">
        <f ca="1">ROUND(_xll.PALO.DATAC("jedoxtest/EU_PM_CUBE02","EUPM_Mittel2_Cube",Bet_AT_Saeulen_Datenstand,"Alle Beteiligungen","Alle Koordinatoren","Alle Unternehmensgrößen","-2","Alle Organisationstypen",28,"Alle Expertevaluierungsstatus",$B11,"-2",1,"-2","Alle","-2","foerderung")/1000000,2)</f>
        <v>120.36</v>
      </c>
      <c r="H11" s="41"/>
      <c r="I11" s="41"/>
    </row>
    <row r="12" spans="1:9" s="62" customFormat="1" ht="15" customHeight="1">
      <c r="A12" s="41"/>
      <c r="B12" s="44">
        <v>6154</v>
      </c>
      <c r="C12" s="44" t="s">
        <v>164</v>
      </c>
      <c r="D12" s="148">
        <f t="shared" ca="1" si="0"/>
        <v>2.8068384792038787E-2</v>
      </c>
      <c r="E12" s="122">
        <f ca="1">_xll.PALO.DATAC("jedoxtest/EU_PM_CUBE02","EUPM_Mittel2_Cube",Bet_AT_Saeulen_Datenstand,"Alle Beteiligungen","Alle Koordinatoren","Alle Unternehmensgrößen","-2","Alle Organisationstypen",28,"Alle Expertevaluierungsstatus",$B12,"-2",1,"-2","Alle","-2","anzahl_beteiligungen")</f>
        <v>110</v>
      </c>
      <c r="F12" s="148">
        <f t="shared" ca="1" si="1"/>
        <v>1.4362676435728907E-2</v>
      </c>
      <c r="G12" s="42">
        <f ca="1">ROUND(_xll.PALO.DATAC("jedoxtest/EU_PM_CUBE02","EUPM_Mittel2_Cube",Bet_AT_Saeulen_Datenstand,"Alle Beteiligungen","Alle Koordinatoren","Alle Unternehmensgrößen","-2","Alle Organisationstypen",28,"Alle Expertevaluierungsstatus",$B12,"-2",1,"-2","Alle","-2","foerderung")/1000000,2)</f>
        <v>26.66</v>
      </c>
      <c r="H12" s="41"/>
      <c r="I12" s="41"/>
    </row>
    <row r="13" spans="1:9" s="62" customFormat="1" ht="15" customHeight="1">
      <c r="A13" s="41"/>
      <c r="B13" s="44">
        <v>6150</v>
      </c>
      <c r="C13" s="44" t="str">
        <f ca="1">_xll.PALO.DATAC("jedoxtest/EU_PM_CUBE02","#_Programme","Langbezeichnung",$B13)&amp;" 2021-2025"</f>
        <v>Euratom 2021-2025</v>
      </c>
      <c r="D13" s="148">
        <f t="shared" ca="1" si="0"/>
        <v>0</v>
      </c>
      <c r="E13" s="122">
        <f ca="1">_xll.PALO.DATAC("jedoxtest/EU_PM_CUBE02","EUPM_Mittel2_Cube",Bet_AT_Saeulen_Datenstand,"Alle Beteiligungen","Alle Koordinatoren","Alle Unternehmensgrößen","-2","Alle Organisationstypen",28,"Alle Expertevaluierungsstatus",$B13,"-2",1,"-2","Alle","-2","anzahl_beteiligungen")</f>
        <v>0</v>
      </c>
      <c r="F13" s="148">
        <f t="shared" ca="1" si="1"/>
        <v>0</v>
      </c>
      <c r="G13" s="42">
        <f ca="1">ROUND(_xll.PALO.DATAC("jedoxtest/EU_PM_CUBE02","EUPM_Mittel2_Cube",Bet_AT_Saeulen_Datenstand,"Alle Beteiligungen","Alle Koordinatoren","Alle Unternehmensgrößen","-2","Alle Organisationstypen",28,"Alle Expertevaluierungsstatus",$B13,"-2",1,"-2","Alle","-2","foerderung")/1000000,2)</f>
        <v>0</v>
      </c>
      <c r="H13" s="41"/>
      <c r="I13" s="41"/>
    </row>
    <row r="14" spans="1:9" s="62" customFormat="1" ht="15" customHeight="1">
      <c r="A14" s="41"/>
      <c r="B14" s="41"/>
      <c r="C14" s="41"/>
      <c r="D14" s="41"/>
      <c r="E14" s="41"/>
      <c r="F14" s="41"/>
      <c r="G14" s="41"/>
      <c r="H14" s="41"/>
      <c r="I14" s="41"/>
    </row>
    <row r="15" spans="1:9" s="62" customFormat="1" ht="15" customHeight="1">
      <c r="A15" s="41"/>
      <c r="B15" s="41"/>
      <c r="C15" s="41"/>
      <c r="D15" s="41"/>
      <c r="E15" s="41"/>
      <c r="F15" s="41"/>
      <c r="G15" s="41"/>
      <c r="H15" s="41"/>
      <c r="I15" s="41"/>
    </row>
    <row r="16" spans="1:9" s="62" customFormat="1" ht="15" customHeight="1">
      <c r="A16" s="41"/>
      <c r="B16" s="41"/>
      <c r="C16" s="41"/>
      <c r="D16" s="41"/>
      <c r="E16" s="41"/>
      <c r="F16" s="41"/>
      <c r="G16" s="41"/>
      <c r="H16" s="41"/>
      <c r="I16" s="41"/>
    </row>
    <row r="17" spans="1:17" s="62" customFormat="1" ht="15" customHeight="1">
      <c r="A17" s="41"/>
      <c r="B17" s="41"/>
      <c r="C17" s="41"/>
      <c r="D17" s="41"/>
      <c r="E17" s="41"/>
      <c r="F17" s="41"/>
      <c r="G17" s="41"/>
      <c r="H17" s="41"/>
      <c r="I17" s="41"/>
    </row>
    <row r="18" spans="1:17" s="62" customFormat="1">
      <c r="A18" s="41"/>
      <c r="B18" s="41"/>
      <c r="C18" s="41"/>
      <c r="D18" s="41"/>
      <c r="E18" s="41"/>
      <c r="F18" s="41"/>
      <c r="G18" s="41"/>
      <c r="H18" s="41"/>
      <c r="I18" s="41"/>
    </row>
    <row r="19" spans="1:17" s="62" customFormat="1">
      <c r="A19" s="41"/>
      <c r="B19" s="41"/>
      <c r="C19" s="41"/>
      <c r="D19" s="41"/>
      <c r="E19" s="41"/>
      <c r="F19" s="41"/>
      <c r="G19" s="41"/>
      <c r="H19" s="41"/>
      <c r="I19" s="41"/>
    </row>
    <row r="20" spans="1:17" s="62" customFormat="1">
      <c r="A20" s="41"/>
      <c r="B20" s="41"/>
      <c r="C20" s="41"/>
      <c r="D20" s="41"/>
      <c r="E20" s="41"/>
      <c r="F20" s="41"/>
      <c r="G20" s="41"/>
      <c r="H20" s="41"/>
      <c r="I20" s="41"/>
    </row>
    <row r="21" spans="1:17" s="62" customFormat="1">
      <c r="A21" s="41"/>
      <c r="B21" s="41"/>
      <c r="C21" s="41"/>
      <c r="D21" s="41"/>
      <c r="E21" s="41"/>
      <c r="F21" s="41"/>
      <c r="G21" s="41"/>
      <c r="H21" s="41"/>
      <c r="I21" s="41"/>
    </row>
    <row r="22" spans="1:17" s="62" customFormat="1">
      <c r="A22" s="41"/>
      <c r="B22" s="41"/>
      <c r="C22" s="41"/>
      <c r="D22" s="41"/>
      <c r="E22" s="41"/>
      <c r="F22" s="41"/>
      <c r="G22" s="41"/>
      <c r="H22" s="41"/>
      <c r="I22" s="41"/>
    </row>
    <row r="23" spans="1:17" s="62" customFormat="1" ht="42" customHeight="1">
      <c r="A23" s="41"/>
      <c r="B23" s="41"/>
      <c r="C23" s="41"/>
      <c r="D23" s="41"/>
      <c r="E23" s="41"/>
      <c r="F23" s="41"/>
      <c r="G23" s="41"/>
      <c r="H23" s="41"/>
      <c r="I23" s="41"/>
    </row>
    <row r="24" spans="1:17" s="62" customFormat="1" ht="25.5" hidden="1" customHeight="1">
      <c r="A24" s="41"/>
      <c r="B24" s="41"/>
      <c r="C24" s="168" t="s">
        <v>271</v>
      </c>
      <c r="D24" s="111"/>
      <c r="E24" s="111"/>
      <c r="F24" s="111"/>
      <c r="G24" s="111"/>
      <c r="H24" s="41"/>
      <c r="I24" s="41"/>
      <c r="L24" s="118"/>
      <c r="M24" s="118"/>
      <c r="N24" s="118"/>
      <c r="O24" s="118"/>
      <c r="P24" s="118"/>
      <c r="Q24" s="118"/>
    </row>
    <row r="25" spans="1:17" s="62" customFormat="1" ht="15" hidden="1" customHeight="1">
      <c r="A25" s="41"/>
      <c r="B25" s="41"/>
      <c r="C25" s="41"/>
      <c r="D25" s="41"/>
      <c r="E25" s="41"/>
      <c r="F25" s="41"/>
      <c r="G25" s="41"/>
      <c r="H25" s="41"/>
      <c r="I25" s="41"/>
      <c r="L25" s="118"/>
      <c r="M25" s="118"/>
      <c r="N25" s="118"/>
      <c r="O25" s="118"/>
      <c r="P25" s="118"/>
      <c r="Q25" s="118"/>
    </row>
    <row r="26" spans="1:17" s="62" customFormat="1" ht="28.5" hidden="1" customHeight="1">
      <c r="A26" s="41"/>
      <c r="B26" s="41"/>
      <c r="C26" s="42"/>
      <c r="D26" s="42" t="s">
        <v>106</v>
      </c>
      <c r="E26" s="42" t="s">
        <v>107</v>
      </c>
      <c r="F26" s="42">
        <f ca="1">ROUND(_xll.PALO.DATAC("jedoxtest/EU_PM_CUBE02","EUPM_Mittel2_Cube",Bet_AT_Saeulen_Datenstand,"Alle Beteiligungen","Alle Koordinatoren","Alle Unternehmensgrößen","-2","Alle Organisationstypen",28,"Alle Expertevaluierungsstatus","-2","-2",1,"-2","Alle","-2","foerderung")/1000000,2)</f>
        <v>1856.2</v>
      </c>
      <c r="G26" s="41"/>
      <c r="H26" s="41"/>
      <c r="I26" s="41"/>
      <c r="L26" s="118"/>
      <c r="M26" s="418"/>
      <c r="N26" s="418"/>
      <c r="O26" s="418"/>
      <c r="P26" s="118"/>
      <c r="Q26" s="118"/>
    </row>
    <row r="27" spans="1:17" s="62" customFormat="1" ht="15" hidden="1" customHeight="1">
      <c r="A27" s="41"/>
      <c r="B27" s="44">
        <v>6151</v>
      </c>
      <c r="C27" s="44" t="str">
        <f ca="1">_xll.PALO.DATAC("jedoxtest/EU_PM_CUBE02","#_Programme","Langbezeichnung",$B27)</f>
        <v>Excellent Science</v>
      </c>
      <c r="D27" s="42">
        <f ca="1">ROUND(_xll.PALO.DATAC("jedoxtest/EU_PM_CUBE02","EUPM_Mittel2_Cube",Bet_AT_Saeulen_Datenstand,"Alle Beteiligungen","Alle Koordinatoren","Alle Unternehmensgrößen","-2","Alle Organisationstypen",28,"Alle Expertevaluierungsstatus",$B27,"-2",-2,"-2","Alle","-2","foerderung")/1000000,2)</f>
        <v>16908.990000000002</v>
      </c>
      <c r="E27" s="123">
        <f ca="1">F27/D27</f>
        <v>3.605833346639864E-2</v>
      </c>
      <c r="F27" s="42">
        <f ca="1">ROUND(_xll.PALO.DATAC("jedoxtest/EU_PM_CUBE02","EUPM_Mittel2_Cube",Bet_AT_Saeulen_Datenstand,"Alle Beteiligungen","Alle Koordinatoren","Alle Unternehmensgrößen","-2","Alle Organisationstypen",28,"Alle Expertevaluierungsstatus",$B27,"-2",1,"-2","Alle","-2","foerderung")/1000000,2)</f>
        <v>609.71</v>
      </c>
      <c r="G27" s="41"/>
      <c r="H27" s="41"/>
      <c r="I27" s="41"/>
      <c r="K27" s="149"/>
      <c r="L27" s="419"/>
      <c r="M27" s="420"/>
      <c r="N27" s="420"/>
      <c r="O27" s="421"/>
      <c r="P27" s="118"/>
      <c r="Q27" s="118"/>
    </row>
    <row r="28" spans="1:17" s="62" customFormat="1" ht="15" hidden="1" customHeight="1">
      <c r="A28" s="41"/>
      <c r="B28" s="44">
        <v>6152</v>
      </c>
      <c r="C28" s="44" t="s">
        <v>165</v>
      </c>
      <c r="D28" s="42">
        <f ca="1">ROUND(_xll.PALO.DATAC("jedoxtest/EU_PM_CUBE02","EUPM_Mittel2_Cube",Bet_AT_Saeulen_Datenstand,"Alle Beteiligungen","Alle Koordinatoren","Alle Unternehmensgrößen","-2","Alle Organisationstypen",28,"Alle Expertevaluierungsstatus",$B28,"-2",-2,"-2","Alle","-2","foerderung")/1000000,2)</f>
        <v>33079.06</v>
      </c>
      <c r="E28" s="123">
        <f t="shared" ref="E28:E31" ca="1" si="2">F28/D28</f>
        <v>3.3237945697368668E-2</v>
      </c>
      <c r="F28" s="42">
        <f ca="1">ROUND(_xll.PALO.DATAC("jedoxtest/EU_PM_CUBE02","EUPM_Mittel2_Cube",Bet_AT_Saeulen_Datenstand,"Alle Beteiligungen","Alle Koordinatoren","Alle Unternehmensgrößen","-2","Alle Organisationstypen",28,"Alle Expertevaluierungsstatus",$B28,"-2",1,"-2","Alle","-2","foerderung")/1000000,2)</f>
        <v>1099.48</v>
      </c>
      <c r="G28" s="41"/>
      <c r="H28" s="41"/>
      <c r="I28" s="41"/>
      <c r="L28" s="419"/>
      <c r="M28" s="420"/>
      <c r="N28" s="420"/>
      <c r="O28" s="421"/>
      <c r="P28" s="118"/>
      <c r="Q28" s="118"/>
    </row>
    <row r="29" spans="1:17" s="62" customFormat="1" ht="15" hidden="1" customHeight="1">
      <c r="A29" s="41"/>
      <c r="B29" s="44">
        <v>6153</v>
      </c>
      <c r="C29" s="44" t="str">
        <f ca="1">_xll.PALO.DATAC("jedoxtest/EU_PM_CUBE02","#_Programme","Langbezeichnung",$B29)</f>
        <v>Innovative Europe</v>
      </c>
      <c r="D29" s="42">
        <f ca="1">ROUND(_xll.PALO.DATAC("jedoxtest/EU_PM_CUBE02","EUPM_Mittel2_Cube",Bet_AT_Saeulen_Datenstand,"Alle Beteiligungen","Alle Koordinatoren","Alle Unternehmensgrößen","-2","Alle Organisationstypen",28,"Alle Expertevaluierungsstatus",$B29,"-2",-2,"-2","Alle","-2","foerderung")/1000000,2)</f>
        <v>6418.8</v>
      </c>
      <c r="E29" s="123">
        <f t="shared" ca="1" si="2"/>
        <v>1.875116844269957E-2</v>
      </c>
      <c r="F29" s="42">
        <f ca="1">ROUND(_xll.PALO.DATAC("jedoxtest/EU_PM_CUBE02","EUPM_Mittel2_Cube",Bet_AT_Saeulen_Datenstand,"Alle Beteiligungen","Alle Koordinatoren","Alle Unternehmensgrößen","-2","Alle Organisationstypen",28,"Alle Expertevaluierungsstatus",$B29,"-2",1,"-2","Alle","-2","foerderung")/1000000,2)</f>
        <v>120.36</v>
      </c>
      <c r="G29" s="41"/>
      <c r="H29" s="41"/>
      <c r="I29" s="41"/>
      <c r="L29" s="419"/>
      <c r="M29" s="420"/>
      <c r="N29" s="420"/>
      <c r="O29" s="421"/>
      <c r="P29" s="118"/>
      <c r="Q29" s="118"/>
    </row>
    <row r="30" spans="1:17" s="62" customFormat="1" ht="15" hidden="1" customHeight="1">
      <c r="A30" s="41"/>
      <c r="B30" s="44">
        <v>6154</v>
      </c>
      <c r="C30" s="44" t="s">
        <v>164</v>
      </c>
      <c r="D30" s="42">
        <f ca="1">ROUND(_xll.PALO.DATAC("jedoxtest/EU_PM_CUBE02","EUPM_Mittel2_Cube",Bet_AT_Saeulen_Datenstand,"Alle Beteiligungen","Alle Koordinatoren","Alle Unternehmensgrößen","-2","Alle Organisationstypen",28,"Alle Expertevaluierungsstatus",$B30,"-2",-2,"-2","Alle","-2","foerderung")/1000000,2)</f>
        <v>1889.13</v>
      </c>
      <c r="E30" s="123">
        <f t="shared" ca="1" si="2"/>
        <v>1.4112316251396145E-2</v>
      </c>
      <c r="F30" s="42">
        <f ca="1">ROUND(_xll.PALO.DATAC("jedoxtest/EU_PM_CUBE02","EUPM_Mittel2_Cube",Bet_AT_Saeulen_Datenstand,"Alle Beteiligungen","Alle Koordinatoren","Alle Unternehmensgrößen","-2","Alle Organisationstypen",28,"Alle Expertevaluierungsstatus",$B30,"-2",1,"-2","Alle","-2","foerderung")/1000000,2)</f>
        <v>26.66</v>
      </c>
      <c r="G30" s="41"/>
      <c r="H30" s="41"/>
      <c r="I30" s="41"/>
      <c r="L30" s="419"/>
      <c r="M30" s="420"/>
      <c r="N30" s="420"/>
      <c r="O30" s="421"/>
      <c r="P30" s="118"/>
      <c r="Q30" s="118"/>
    </row>
    <row r="31" spans="1:17" s="62" customFormat="1" ht="15" hidden="1" customHeight="1">
      <c r="A31" s="41"/>
      <c r="B31" s="44">
        <v>6150</v>
      </c>
      <c r="C31" s="44" t="str">
        <f ca="1">_xll.PALO.DATAC("jedoxtest/EU_PM_CUBE02","#_Programme","Langbezeichnung",$B31)&amp;" 2021-2025"</f>
        <v>Euratom 2021-2025</v>
      </c>
      <c r="D31" s="42">
        <f ca="1">ROUND(_xll.PALO.DATAC("jedoxtest/EU_PM_CUBE02","EUPM_Mittel2_Cube",Bet_AT_Saeulen_Datenstand,"Alle Beteiligungen","Alle Koordinatoren","Alle Unternehmensgrößen","-2","Alle Organisationstypen",28,"Alle Expertevaluierungsstatus",$B31,"-2",-2,"-2","Alle","-2","foerderung")/1000000,2)</f>
        <v>0</v>
      </c>
      <c r="E31" s="123" t="e">
        <f t="shared" ca="1" si="2"/>
        <v>#DIV/0!</v>
      </c>
      <c r="F31" s="42">
        <f ca="1">ROUND(_xll.PALO.DATAC("jedoxtest/EU_PM_CUBE02","EUPM_Mittel2_Cube",Bet_AT_Saeulen_Datenstand,"Alle Beteiligungen","Alle Koordinatoren","Alle Unternehmensgrößen","-2","Alle Organisationstypen",28,"Alle Expertevaluierungsstatus",$B31,"-2",1,"-2","Alle","-2","foerderung")/1000000,2)</f>
        <v>0</v>
      </c>
      <c r="G31" s="41"/>
      <c r="H31" s="41"/>
      <c r="I31" s="41"/>
      <c r="L31" s="419"/>
      <c r="M31" s="420"/>
      <c r="N31" s="420"/>
      <c r="O31" s="421"/>
      <c r="P31" s="118"/>
      <c r="Q31" s="118"/>
    </row>
    <row r="32" spans="1:17" s="62" customFormat="1" ht="29.25" hidden="1" customHeight="1">
      <c r="A32" s="41"/>
      <c r="B32" s="41"/>
      <c r="C32" s="41"/>
      <c r="D32" s="41"/>
      <c r="E32" s="41"/>
      <c r="F32" s="41"/>
      <c r="G32" s="41"/>
      <c r="H32" s="41"/>
      <c r="I32" s="41"/>
      <c r="L32" s="118"/>
      <c r="M32" s="118"/>
      <c r="N32" s="118"/>
      <c r="O32" s="118"/>
      <c r="P32" s="118"/>
      <c r="Q32" s="118"/>
    </row>
    <row r="33" spans="1:17" s="62" customFormat="1" ht="29.25" hidden="1" customHeight="1">
      <c r="A33" s="41"/>
      <c r="B33" s="41"/>
      <c r="C33" s="41"/>
      <c r="D33" s="41"/>
      <c r="E33" s="41"/>
      <c r="F33" s="41"/>
      <c r="G33" s="41"/>
      <c r="H33" s="41"/>
      <c r="I33" s="41"/>
      <c r="L33" s="118"/>
      <c r="M33" s="118"/>
      <c r="N33" s="118"/>
      <c r="O33" s="118"/>
      <c r="P33" s="118"/>
      <c r="Q33" s="118"/>
    </row>
    <row r="34" spans="1:17" s="62" customFormat="1" ht="29.25" hidden="1" customHeight="1">
      <c r="A34" s="41"/>
      <c r="B34" s="41"/>
      <c r="C34" s="41"/>
      <c r="D34" s="41"/>
      <c r="E34" s="41"/>
      <c r="F34" s="41"/>
      <c r="G34" s="41"/>
      <c r="H34" s="41"/>
      <c r="I34" s="41"/>
      <c r="L34" s="118"/>
      <c r="M34" s="118"/>
      <c r="N34" s="118"/>
      <c r="O34" s="118"/>
      <c r="P34" s="118"/>
      <c r="Q34" s="118"/>
    </row>
    <row r="35" spans="1:17" s="62" customFormat="1" ht="15" hidden="1" customHeight="1">
      <c r="A35" s="41"/>
      <c r="B35" s="41"/>
      <c r="C35" s="41"/>
      <c r="D35" s="41"/>
      <c r="E35" s="41"/>
      <c r="F35" s="41"/>
      <c r="G35" s="41"/>
      <c r="H35" s="41"/>
      <c r="I35" s="41"/>
    </row>
    <row r="36" spans="1:17" s="62" customFormat="1" ht="15" hidden="1" customHeight="1">
      <c r="A36" s="41"/>
      <c r="B36" s="41"/>
      <c r="C36" s="41"/>
      <c r="D36" s="41"/>
      <c r="E36" s="41"/>
      <c r="F36" s="41"/>
      <c r="G36" s="41"/>
      <c r="H36" s="41"/>
      <c r="I36" s="41"/>
    </row>
    <row r="37" spans="1:17" s="62" customFormat="1" ht="26.25" hidden="1" customHeight="1">
      <c r="A37" s="41"/>
      <c r="B37" s="41"/>
      <c r="C37" s="41"/>
      <c r="D37" s="41"/>
      <c r="E37" s="41"/>
      <c r="F37" s="41"/>
      <c r="G37" s="41"/>
      <c r="H37" s="41"/>
      <c r="I37" s="41"/>
    </row>
    <row r="38" spans="1:17" s="62" customFormat="1" ht="26.25" hidden="1" customHeight="1">
      <c r="A38" s="41"/>
      <c r="B38" s="41"/>
      <c r="C38" s="41"/>
      <c r="D38" s="41"/>
      <c r="E38" s="41"/>
      <c r="F38" s="41"/>
      <c r="G38" s="41"/>
      <c r="H38" s="41"/>
      <c r="I38" s="41"/>
    </row>
    <row r="39" spans="1:17" s="62" customFormat="1" ht="26.25" hidden="1" customHeight="1">
      <c r="A39" s="41"/>
      <c r="B39" s="41"/>
      <c r="C39" s="41"/>
      <c r="D39" s="41"/>
      <c r="E39" s="41"/>
      <c r="F39" s="41"/>
      <c r="G39" s="41"/>
      <c r="H39" s="41"/>
      <c r="I39" s="41"/>
    </row>
    <row r="40" spans="1:17" s="62" customFormat="1" ht="15" hidden="1" customHeight="1">
      <c r="A40" s="41"/>
      <c r="B40" s="41"/>
      <c r="C40" s="41"/>
      <c r="D40" s="41"/>
      <c r="E40" s="41"/>
      <c r="F40" s="41"/>
      <c r="G40" s="41"/>
      <c r="H40" s="41"/>
      <c r="I40" s="41"/>
    </row>
    <row r="41" spans="1:17" s="62" customFormat="1" ht="15" customHeight="1">
      <c r="A41" s="41"/>
      <c r="B41" s="41"/>
      <c r="C41" s="41"/>
      <c r="D41" s="41"/>
      <c r="E41" s="41"/>
      <c r="F41" s="41"/>
      <c r="G41" s="41"/>
      <c r="H41" s="41"/>
      <c r="I41" s="41"/>
    </row>
    <row r="42" spans="1:17" s="62" customFormat="1" ht="15" customHeight="1">
      <c r="A42" s="41"/>
      <c r="B42" s="41"/>
      <c r="C42" s="41"/>
      <c r="D42" s="705" t="str">
        <f ca="1">"Quelle: EC "&amp;_xll.PALO.DATA("jedoxtest/EU_PM_CUBE02","#_Datenstand","reference_month",Bet_AT_Saeulen_Datenstand)&amp;"/"&amp;_xll.PALO.DATA("jedoxtest/EU_PM_CUBE02","#_Datenstand","reference_year",Bet_AT_Saeulen_Datenstand)&amp;"; Darstellung FFG"</f>
        <v>Quelle: EC 5/2026; Darstellung FFG</v>
      </c>
      <c r="E42" s="705"/>
      <c r="F42" s="705"/>
      <c r="G42" s="705"/>
      <c r="H42" s="705"/>
      <c r="I42" s="41"/>
    </row>
    <row r="43" spans="1:17" s="62" customFormat="1" ht="15" customHeight="1">
      <c r="A43" s="41"/>
      <c r="B43" s="41"/>
      <c r="C43" s="41"/>
      <c r="D43"/>
      <c r="E43"/>
      <c r="F43"/>
      <c r="G43"/>
      <c r="H43" s="41"/>
      <c r="I43" s="41"/>
    </row>
    <row r="44" spans="1:17" s="62" customFormat="1" ht="15" customHeight="1">
      <c r="A44" s="41"/>
      <c r="B44" s="41"/>
      <c r="C44" s="41"/>
      <c r="D44" s="41"/>
      <c r="E44" s="41"/>
      <c r="F44" s="41"/>
      <c r="G44" s="41"/>
      <c r="H44" s="41"/>
      <c r="I44" s="41"/>
    </row>
    <row r="45" spans="1:17" s="62" customFormat="1">
      <c r="A45" s="41"/>
      <c r="B45" s="41"/>
      <c r="C45" s="41"/>
      <c r="D45" s="41"/>
      <c r="E45" s="41"/>
      <c r="F45" s="41"/>
      <c r="G45" s="41"/>
      <c r="H45" s="41"/>
      <c r="I45" s="41"/>
    </row>
    <row r="46" spans="1:17" s="62" customFormat="1">
      <c r="A46" s="41"/>
      <c r="B46" s="41"/>
      <c r="C46" s="41"/>
      <c r="D46" s="41"/>
      <c r="E46" s="41"/>
      <c r="F46" s="41"/>
      <c r="G46" s="41"/>
      <c r="H46" s="41"/>
      <c r="I46" s="41"/>
    </row>
    <row r="48" spans="1:17" hidden="1">
      <c r="A48" s="35" t="b">
        <f ca="1">_xll.PALO.HIDEROW(ISBLANK($A$1))</f>
        <v>1</v>
      </c>
      <c r="C48" s="35" t="s">
        <v>10</v>
      </c>
      <c r="D48" s="35" t="str">
        <f ca="1">_xll.PALO.ENAME("jedoxtest/EU_PM_CUBE02","Datenstand",3)</f>
        <v>117</v>
      </c>
    </row>
  </sheetData>
  <mergeCells count="2">
    <mergeCell ref="C3:G3"/>
    <mergeCell ref="D42:H42"/>
  </mergeCells>
  <pageMargins left="0.70866141732283472" right="0.70866141732283472" top="0.94488188976377963" bottom="0.74803149606299213" header="0.51181102362204722" footer="0.31496062992125984"/>
  <pageSetup paperSize="9" scale="76"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48"/>
  <sheetViews>
    <sheetView topLeftCell="A26" zoomScaleNormal="100" workbookViewId="0">
      <selection activeCell="D42" sqref="D42:H42"/>
    </sheetView>
  </sheetViews>
  <sheetFormatPr baseColWidth="10" defaultColWidth="11.42578125" defaultRowHeight="15"/>
  <cols>
    <col min="1" max="1" width="4.140625" style="604" customWidth="1"/>
    <col min="2" max="2" width="6.140625" style="604" hidden="1" customWidth="1"/>
    <col min="3" max="3" width="56.28515625" style="604" customWidth="1"/>
    <col min="4" max="7" width="11.7109375" style="604" customWidth="1"/>
    <col min="8" max="8" width="11.28515625" style="604" customWidth="1"/>
    <col min="9" max="9" width="11.7109375" style="604" customWidth="1"/>
    <col min="10" max="10" width="11.42578125" style="61"/>
    <col min="11" max="12" width="14.42578125" style="61" customWidth="1"/>
    <col min="13" max="13" width="13.28515625" style="61" customWidth="1"/>
    <col min="14" max="14" width="13.42578125" style="61" customWidth="1"/>
    <col min="15" max="15" width="11.140625" style="61" customWidth="1"/>
    <col min="16" max="16384" width="11.42578125" style="61"/>
  </cols>
  <sheetData>
    <row r="1" spans="1:9" ht="14.25" customHeight="1">
      <c r="B1" s="604" t="b">
        <f ca="1">_xll.PALO.HIDECOLUMN(ISBLANK($A$1))</f>
        <v>1</v>
      </c>
    </row>
    <row r="2" spans="1:9" ht="27" hidden="1" customHeight="1">
      <c r="C2" s="168" t="str">
        <f ca="1">"Österreich in "&amp;_xll.PALO.DATA("jedoxtest/EU_PM_CUBE02","#_Datenstand","frameworkprog_long",Bet_AT_Saeulen_Datenstand)&amp;" nach Säulen"</f>
        <v>Österreich in Horizon Europe nach Säulen</v>
      </c>
      <c r="D2" s="111"/>
      <c r="E2" s="111"/>
      <c r="F2" s="111"/>
      <c r="G2" s="111"/>
    </row>
    <row r="3" spans="1:9" ht="6.75" hidden="1" customHeight="1">
      <c r="C3" s="708"/>
      <c r="D3" s="708"/>
      <c r="E3" s="708"/>
      <c r="F3" s="708"/>
      <c r="G3" s="708"/>
    </row>
    <row r="4" spans="1:9" ht="6" hidden="1" customHeight="1"/>
    <row r="5" spans="1:9" s="62" customFormat="1" ht="19.5" hidden="1" customHeight="1">
      <c r="A5" s="603"/>
      <c r="B5" s="603"/>
      <c r="C5" s="146"/>
      <c r="D5" s="147"/>
      <c r="E5" s="147"/>
      <c r="F5" s="147"/>
      <c r="G5" s="147"/>
      <c r="H5" s="603"/>
      <c r="I5" s="603"/>
    </row>
    <row r="6" spans="1:9" s="62" customFormat="1" ht="12" hidden="1" customHeight="1">
      <c r="A6" s="603"/>
      <c r="B6" s="603"/>
      <c r="C6" s="603"/>
      <c r="D6" s="603"/>
      <c r="E6" s="603"/>
      <c r="F6" s="603"/>
      <c r="G6" s="603"/>
      <c r="H6" s="603"/>
      <c r="I6" s="603"/>
    </row>
    <row r="7" spans="1:9" s="62" customFormat="1" ht="15" hidden="1" customHeight="1">
      <c r="A7" s="603"/>
      <c r="B7" s="603"/>
      <c r="C7" s="603"/>
      <c r="D7" s="122"/>
      <c r="E7" s="603"/>
      <c r="F7" s="603"/>
      <c r="G7" s="603"/>
      <c r="H7" s="603"/>
      <c r="I7" s="603"/>
    </row>
    <row r="8" spans="1:9" s="62" customFormat="1" ht="15" hidden="1" customHeight="1">
      <c r="A8" s="603"/>
      <c r="B8" s="603"/>
      <c r="C8" s="303" t="str">
        <f ca="1">_xll.PALO.DATAC("jedoxtest/EU_PM_CUBE02","#_Programme","Langbezeichnung",-2)</f>
        <v>Alle Themen</v>
      </c>
      <c r="D8" s="303" t="str">
        <f ca="1">"Beteiligungen "&amp;TEXT($E$8,"#.000")</f>
        <v>Beteiligungen 3.919</v>
      </c>
      <c r="E8" s="122">
        <f ca="1">_xll.PALO.DATAC("jedoxtest/EU_PM_CUBE02","EUPM_Mittel2_Cube",Bet_AT_Saeulen_Datenstand,"Alle Beteiligungen","Alle Koordinatoren","Alle Unternehmensgrößen","-2","Alle Organisationstypen",28,"Alle Expertevaluierungsstatus","-2","-2",1,"-2","Alle","-2","anzahl_beteiligungen")</f>
        <v>3919</v>
      </c>
      <c r="F8" s="603" t="str">
        <f ca="1">"Förderung "&amp;TEXT($G$8,"#.000,00")&amp;" Mio.€"</f>
        <v>Förderung 1.856,20 Mio.€</v>
      </c>
      <c r="G8" s="303">
        <f ca="1">ROUND(_xll.PALO.DATAC("jedoxtest/EU_PM_CUBE02","EUPM_Mittel2_Cube",Bet_AT_Saeulen_Datenstand,"Alle Beteiligungen","Alle Koordinatoren","Alle Unternehmensgrößen","-2","Alle Organisationstypen",28,"Alle Expertevaluierungsstatus","-2","-2",1,"-2","Alle","-2","foerderung")/1000000,2)</f>
        <v>1856.2</v>
      </c>
      <c r="H8" s="603"/>
      <c r="I8" s="603"/>
    </row>
    <row r="9" spans="1:9" s="62" customFormat="1" ht="15" hidden="1" customHeight="1">
      <c r="A9" s="603"/>
      <c r="B9" s="44">
        <v>6151</v>
      </c>
      <c r="C9" s="44" t="str">
        <f ca="1">_xll.PALO.DATAC("jedoxtest/EU_PM_CUBE02","#_Programme","Langbezeichnung",$B9)</f>
        <v>Excellent Science</v>
      </c>
      <c r="D9" s="148">
        <f t="shared" ref="D9:D13" ca="1" si="0">E9/$E$8</f>
        <v>0.29191120183720337</v>
      </c>
      <c r="E9" s="122">
        <f ca="1">_xll.PALO.DATAC("jedoxtest/EU_PM_CUBE02","EUPM_Mittel2_Cube",Bet_AT_Saeulen_Datenstand,"Alle Beteiligungen","Alle Koordinatoren","Alle Unternehmensgrößen","-2","Alle Organisationstypen",28,"Alle Expertevaluierungsstatus",$B9,"-2",1,"-2","Alle","-2","anzahl_beteiligungen")</f>
        <v>1144</v>
      </c>
      <c r="F9" s="148">
        <f ca="1">G9/$G$8</f>
        <v>0.3284721473979097</v>
      </c>
      <c r="G9" s="303">
        <f ca="1">ROUND(_xll.PALO.DATAC("jedoxtest/EU_PM_CUBE02","EUPM_Mittel2_Cube",Bet_AT_Saeulen_Datenstand,"Alle Beteiligungen","Alle Koordinatoren","Alle Unternehmensgrößen","-2","Alle Organisationstypen",28,"Alle Expertevaluierungsstatus",$B9,"-2",1,"-2","Alle","-2","foerderung")/1000000,2)</f>
        <v>609.71</v>
      </c>
      <c r="H9" s="603"/>
      <c r="I9" s="603"/>
    </row>
    <row r="10" spans="1:9" s="62" customFormat="1" ht="15" hidden="1" customHeight="1">
      <c r="A10" s="603"/>
      <c r="B10" s="44">
        <v>6152</v>
      </c>
      <c r="C10" s="44" t="s">
        <v>165</v>
      </c>
      <c r="D10" s="148">
        <f t="shared" ca="1" si="0"/>
        <v>0.6368971676448073</v>
      </c>
      <c r="E10" s="122">
        <f ca="1">_xll.PALO.DATAC("jedoxtest/EU_PM_CUBE02","EUPM_Mittel2_Cube",Bet_AT_Saeulen_Datenstand,"Alle Beteiligungen","Alle Koordinatoren","Alle Unternehmensgrößen","-2","Alle Organisationstypen",28,"Alle Expertevaluierungsstatus",$B10,"-2",1,"-2","Alle","-2","anzahl_beteiligungen")</f>
        <v>2496</v>
      </c>
      <c r="F10" s="148">
        <f t="shared" ref="F10:F13" ca="1" si="1">G10/$G$8</f>
        <v>0.59232841288654237</v>
      </c>
      <c r="G10" s="303">
        <f ca="1">ROUND(_xll.PALO.DATAC("jedoxtest/EU_PM_CUBE02","EUPM_Mittel2_Cube",Bet_AT_Saeulen_Datenstand,"Alle Beteiligungen","Alle Koordinatoren","Alle Unternehmensgrößen","-2","Alle Organisationstypen",28,"Alle Expertevaluierungsstatus",$B10,"-2",1,"-2","Alle","-2","foerderung")/1000000,2)</f>
        <v>1099.48</v>
      </c>
      <c r="H10" s="603"/>
      <c r="I10" s="603"/>
    </row>
    <row r="11" spans="1:9" s="62" customFormat="1" ht="15" hidden="1" customHeight="1">
      <c r="A11" s="603"/>
      <c r="B11" s="44">
        <v>6153</v>
      </c>
      <c r="C11" s="44" t="str">
        <f ca="1">_xll.PALO.DATAC("jedoxtest/EU_PM_CUBE02","#_Programme","Langbezeichnung",$B11)</f>
        <v>Innovative Europe</v>
      </c>
      <c r="D11" s="148">
        <f t="shared" ca="1" si="0"/>
        <v>4.3123245725950499E-2</v>
      </c>
      <c r="E11" s="122">
        <f ca="1">_xll.PALO.DATAC("jedoxtest/EU_PM_CUBE02","EUPM_Mittel2_Cube",Bet_AT_Saeulen_Datenstand,"Alle Beteiligungen","Alle Koordinatoren","Alle Unternehmensgrößen","-2","Alle Organisationstypen",28,"Alle Expertevaluierungsstatus",$B11,"-2",1,"-2","Alle","-2","anzahl_beteiligungen")</f>
        <v>169</v>
      </c>
      <c r="F11" s="148">
        <f t="shared" ca="1" si="1"/>
        <v>6.4842150630320006E-2</v>
      </c>
      <c r="G11" s="303">
        <f ca="1">ROUND(_xll.PALO.DATAC("jedoxtest/EU_PM_CUBE02","EUPM_Mittel2_Cube",Bet_AT_Saeulen_Datenstand,"Alle Beteiligungen","Alle Koordinatoren","Alle Unternehmensgrößen","-2","Alle Organisationstypen",28,"Alle Expertevaluierungsstatus",$B11,"-2",1,"-2","Alle","-2","foerderung")/1000000,2)</f>
        <v>120.36</v>
      </c>
      <c r="H11" s="603"/>
      <c r="I11" s="603"/>
    </row>
    <row r="12" spans="1:9" s="62" customFormat="1" ht="15" hidden="1" customHeight="1">
      <c r="A12" s="603"/>
      <c r="B12" s="44">
        <v>6154</v>
      </c>
      <c r="C12" s="44" t="s">
        <v>164</v>
      </c>
      <c r="D12" s="148">
        <f t="shared" ca="1" si="0"/>
        <v>2.8068384792038787E-2</v>
      </c>
      <c r="E12" s="122">
        <f ca="1">_xll.PALO.DATAC("jedoxtest/EU_PM_CUBE02","EUPM_Mittel2_Cube",Bet_AT_Saeulen_Datenstand,"Alle Beteiligungen","Alle Koordinatoren","Alle Unternehmensgrößen","-2","Alle Organisationstypen",28,"Alle Expertevaluierungsstatus",$B12,"-2",1,"-2","Alle","-2","anzahl_beteiligungen")</f>
        <v>110</v>
      </c>
      <c r="F12" s="148">
        <f t="shared" ca="1" si="1"/>
        <v>1.4362676435728907E-2</v>
      </c>
      <c r="G12" s="303">
        <f ca="1">ROUND(_xll.PALO.DATAC("jedoxtest/EU_PM_CUBE02","EUPM_Mittel2_Cube",Bet_AT_Saeulen_Datenstand,"Alle Beteiligungen","Alle Koordinatoren","Alle Unternehmensgrößen","-2","Alle Organisationstypen",28,"Alle Expertevaluierungsstatus",$B12,"-2",1,"-2","Alle","-2","foerderung")/1000000,2)</f>
        <v>26.66</v>
      </c>
      <c r="H12" s="603"/>
      <c r="I12" s="603"/>
    </row>
    <row r="13" spans="1:9" s="62" customFormat="1" ht="15" hidden="1" customHeight="1">
      <c r="A13" s="603"/>
      <c r="B13" s="44">
        <v>6150</v>
      </c>
      <c r="C13" s="44" t="str">
        <f ca="1">_xll.PALO.DATAC("jedoxtest/EU_PM_CUBE02","#_Programme","Langbezeichnung",$B13)&amp;" 2021-2025"</f>
        <v>Euratom 2021-2025</v>
      </c>
      <c r="D13" s="148">
        <f t="shared" ca="1" si="0"/>
        <v>0</v>
      </c>
      <c r="E13" s="122">
        <f ca="1">_xll.PALO.DATAC("jedoxtest/EU_PM_CUBE02","EUPM_Mittel2_Cube",Bet_AT_Saeulen_Datenstand,"Alle Beteiligungen","Alle Koordinatoren","Alle Unternehmensgrößen","-2","Alle Organisationstypen",28,"Alle Expertevaluierungsstatus",$B13,"-2",1,"-2","Alle","-2","anzahl_beteiligungen")</f>
        <v>0</v>
      </c>
      <c r="F13" s="148">
        <f t="shared" ca="1" si="1"/>
        <v>0</v>
      </c>
      <c r="G13" s="303">
        <f ca="1">ROUND(_xll.PALO.DATAC("jedoxtest/EU_PM_CUBE02","EUPM_Mittel2_Cube",Bet_AT_Saeulen_Datenstand,"Alle Beteiligungen","Alle Koordinatoren","Alle Unternehmensgrößen","-2","Alle Organisationstypen",28,"Alle Expertevaluierungsstatus",$B13,"-2",1,"-2","Alle","-2","foerderung")/1000000,2)</f>
        <v>0</v>
      </c>
      <c r="H13" s="603"/>
      <c r="I13" s="603"/>
    </row>
    <row r="14" spans="1:9" s="62" customFormat="1" ht="15" hidden="1" customHeight="1">
      <c r="A14" s="603"/>
      <c r="B14" s="603"/>
      <c r="C14" s="603"/>
      <c r="D14" s="603"/>
      <c r="E14" s="603"/>
      <c r="F14" s="603"/>
      <c r="G14" s="603"/>
      <c r="H14" s="603"/>
      <c r="I14" s="603"/>
    </row>
    <row r="15" spans="1:9" s="62" customFormat="1" ht="15" hidden="1" customHeight="1">
      <c r="A15" s="603"/>
      <c r="B15" s="603"/>
      <c r="C15" s="603"/>
      <c r="D15" s="603"/>
      <c r="E15" s="603"/>
      <c r="F15" s="603"/>
      <c r="G15" s="603"/>
      <c r="H15" s="603"/>
      <c r="I15" s="603"/>
    </row>
    <row r="16" spans="1:9" s="62" customFormat="1" ht="15" hidden="1" customHeight="1">
      <c r="A16" s="603"/>
      <c r="B16" s="603"/>
      <c r="C16" s="603"/>
      <c r="D16" s="603"/>
      <c r="E16" s="603"/>
      <c r="F16" s="603"/>
      <c r="G16" s="603"/>
      <c r="H16" s="603"/>
      <c r="I16" s="603"/>
    </row>
    <row r="17" spans="1:17" s="62" customFormat="1" ht="15" hidden="1" customHeight="1">
      <c r="A17" s="603"/>
      <c r="B17" s="603"/>
      <c r="C17" s="603"/>
      <c r="D17" s="603"/>
      <c r="E17" s="603"/>
      <c r="F17" s="603"/>
      <c r="G17" s="603"/>
      <c r="H17" s="603"/>
      <c r="I17" s="603"/>
    </row>
    <row r="18" spans="1:17" s="62" customFormat="1" hidden="1">
      <c r="A18" s="603"/>
      <c r="B18" s="603"/>
      <c r="C18" s="603"/>
      <c r="D18" s="603"/>
      <c r="E18" s="603"/>
      <c r="F18" s="603"/>
      <c r="G18" s="603"/>
      <c r="H18" s="603"/>
      <c r="I18" s="603"/>
    </row>
    <row r="19" spans="1:17" s="62" customFormat="1" hidden="1">
      <c r="A19" s="603"/>
      <c r="B19" s="603"/>
      <c r="C19" s="603"/>
      <c r="D19" s="603"/>
      <c r="E19" s="603"/>
      <c r="F19" s="603"/>
      <c r="G19" s="603"/>
      <c r="H19" s="603"/>
      <c r="I19" s="603"/>
    </row>
    <row r="20" spans="1:17" s="62" customFormat="1" hidden="1">
      <c r="A20" s="603"/>
      <c r="B20" s="603"/>
      <c r="C20" s="603"/>
      <c r="D20" s="603"/>
      <c r="E20" s="603"/>
      <c r="F20" s="603"/>
      <c r="G20" s="603"/>
      <c r="H20" s="603"/>
      <c r="I20" s="603"/>
    </row>
    <row r="21" spans="1:17" s="62" customFormat="1" hidden="1">
      <c r="A21" s="603"/>
      <c r="B21" s="603"/>
      <c r="C21" s="603"/>
      <c r="D21" s="603"/>
      <c r="E21" s="603"/>
      <c r="F21" s="603"/>
      <c r="G21" s="603"/>
      <c r="H21" s="603"/>
      <c r="I21" s="603"/>
    </row>
    <row r="22" spans="1:17" s="62" customFormat="1" hidden="1">
      <c r="A22" s="603"/>
      <c r="B22" s="603"/>
      <c r="C22" s="603"/>
      <c r="D22" s="603"/>
      <c r="E22" s="603"/>
      <c r="F22" s="603"/>
      <c r="G22" s="603"/>
      <c r="H22" s="603"/>
      <c r="I22" s="603"/>
    </row>
    <row r="23" spans="1:17" s="62" customFormat="1" ht="42" hidden="1" customHeight="1">
      <c r="A23" s="603"/>
      <c r="B23" s="603"/>
      <c r="C23" s="603"/>
      <c r="D23" s="603"/>
      <c r="E23" s="603"/>
      <c r="F23" s="603"/>
      <c r="G23" s="603"/>
      <c r="H23" s="603"/>
      <c r="I23" s="603"/>
    </row>
    <row r="24" spans="1:17" s="62" customFormat="1" ht="25.5" customHeight="1">
      <c r="A24" s="603"/>
      <c r="B24" s="603"/>
      <c r="C24" s="168" t="s">
        <v>271</v>
      </c>
      <c r="D24" s="111"/>
      <c r="E24" s="111"/>
      <c r="F24" s="111"/>
      <c r="G24" s="111"/>
      <c r="H24" s="603"/>
      <c r="I24" s="603"/>
      <c r="L24" s="118"/>
      <c r="M24" s="118"/>
      <c r="N24" s="118"/>
      <c r="O24" s="118"/>
      <c r="P24" s="118"/>
      <c r="Q24" s="118"/>
    </row>
    <row r="25" spans="1:17" s="62" customFormat="1" ht="35.450000000000003" customHeight="1">
      <c r="A25" s="603"/>
      <c r="B25" s="603"/>
      <c r="C25" s="603"/>
      <c r="D25" s="603"/>
      <c r="E25" s="603"/>
      <c r="F25" s="603"/>
      <c r="G25" s="603"/>
      <c r="H25" s="603"/>
      <c r="I25" s="603"/>
      <c r="L25" s="118"/>
      <c r="M25" s="118"/>
      <c r="N25" s="118"/>
      <c r="O25" s="118"/>
      <c r="P25" s="118"/>
      <c r="Q25" s="118"/>
    </row>
    <row r="26" spans="1:17" s="62" customFormat="1" ht="28.5" customHeight="1">
      <c r="A26" s="603"/>
      <c r="B26" s="603"/>
      <c r="C26" s="303"/>
      <c r="D26" s="303" t="s">
        <v>106</v>
      </c>
      <c r="E26" s="303" t="s">
        <v>107</v>
      </c>
      <c r="F26" s="303">
        <f ca="1">ROUND(_xll.PALO.DATAC("jedoxtest/EU_PM_CUBE02","EUPM_Mittel2_Cube",Bet_AT_Saeulen_Datenstand,"Alle Beteiligungen","Alle Koordinatoren","Alle Unternehmensgrößen","-2","Alle Organisationstypen",28,"Alle Expertevaluierungsstatus","-2","-2",1,"-2","Alle","-2","foerderung")/1000000,2)</f>
        <v>1856.2</v>
      </c>
      <c r="G26" s="603"/>
      <c r="H26" s="603"/>
      <c r="I26" s="603"/>
      <c r="L26" s="118"/>
      <c r="M26" s="418"/>
      <c r="N26" s="418"/>
      <c r="O26" s="418"/>
      <c r="P26" s="118"/>
      <c r="Q26" s="118"/>
    </row>
    <row r="27" spans="1:17" s="62" customFormat="1" ht="15" customHeight="1">
      <c r="A27" s="603"/>
      <c r="B27" s="44">
        <v>6151</v>
      </c>
      <c r="C27" s="44" t="str">
        <f ca="1">_xll.PALO.DATAC("jedoxtest/EU_PM_CUBE02","#_Programme","Langbezeichnung",$B27)</f>
        <v>Excellent Science</v>
      </c>
      <c r="D27" s="303">
        <f ca="1">ROUND(_xll.PALO.DATAC("jedoxtest/EU_PM_CUBE02","EUPM_Mittel2_Cube",Bet_AT_Saeulen_Datenstand,"Alle Beteiligungen","Alle Koordinatoren","Alle Unternehmensgrößen","-2","Alle Organisationstypen",28,"Alle Expertevaluierungsstatus",$B27,"-2",-2,"-2","Alle","-2","foerderung")/1000000,2)</f>
        <v>16908.990000000002</v>
      </c>
      <c r="E27" s="123">
        <f ca="1">F27/D27</f>
        <v>3.605833346639864E-2</v>
      </c>
      <c r="F27" s="303">
        <f ca="1">ROUND(_xll.PALO.DATAC("jedoxtest/EU_PM_CUBE02","EUPM_Mittel2_Cube",Bet_AT_Saeulen_Datenstand,"Alle Beteiligungen","Alle Koordinatoren","Alle Unternehmensgrößen","-2","Alle Organisationstypen",28,"Alle Expertevaluierungsstatus",$B27,"-2",1,"-2","Alle","-2","foerderung")/1000000,2)</f>
        <v>609.71</v>
      </c>
      <c r="G27" s="603"/>
      <c r="H27" s="603"/>
      <c r="I27" s="603"/>
      <c r="K27" s="149"/>
      <c r="L27" s="419"/>
      <c r="M27" s="420"/>
      <c r="N27" s="420"/>
      <c r="O27" s="421"/>
      <c r="P27" s="118"/>
      <c r="Q27" s="118"/>
    </row>
    <row r="28" spans="1:17" s="62" customFormat="1" ht="15" customHeight="1">
      <c r="A28" s="603"/>
      <c r="B28" s="44">
        <v>6152</v>
      </c>
      <c r="C28" s="44" t="s">
        <v>165</v>
      </c>
      <c r="D28" s="303">
        <f ca="1">ROUND(_xll.PALO.DATAC("jedoxtest/EU_PM_CUBE02","EUPM_Mittel2_Cube",Bet_AT_Saeulen_Datenstand,"Alle Beteiligungen","Alle Koordinatoren","Alle Unternehmensgrößen","-2","Alle Organisationstypen",28,"Alle Expertevaluierungsstatus",$B28,"-2",-2,"-2","Alle","-2","foerderung")/1000000,2)</f>
        <v>33079.06</v>
      </c>
      <c r="E28" s="123">
        <f t="shared" ref="E28:E31" ca="1" si="2">F28/D28</f>
        <v>3.3237945697368668E-2</v>
      </c>
      <c r="F28" s="303">
        <f ca="1">ROUND(_xll.PALO.DATAC("jedoxtest/EU_PM_CUBE02","EUPM_Mittel2_Cube",Bet_AT_Saeulen_Datenstand,"Alle Beteiligungen","Alle Koordinatoren","Alle Unternehmensgrößen","-2","Alle Organisationstypen",28,"Alle Expertevaluierungsstatus",$B28,"-2",1,"-2","Alle","-2","foerderung")/1000000,2)</f>
        <v>1099.48</v>
      </c>
      <c r="G28" s="603"/>
      <c r="H28" s="603"/>
      <c r="I28" s="603"/>
      <c r="L28" s="419"/>
      <c r="M28" s="420"/>
      <c r="N28" s="420"/>
      <c r="O28" s="421"/>
      <c r="P28" s="118"/>
      <c r="Q28" s="118"/>
    </row>
    <row r="29" spans="1:17" s="62" customFormat="1" ht="15" customHeight="1">
      <c r="A29" s="603"/>
      <c r="B29" s="44">
        <v>6153</v>
      </c>
      <c r="C29" s="44" t="str">
        <f ca="1">_xll.PALO.DATAC("jedoxtest/EU_PM_CUBE02","#_Programme","Langbezeichnung",$B29)</f>
        <v>Innovative Europe</v>
      </c>
      <c r="D29" s="303">
        <f ca="1">ROUND(_xll.PALO.DATAC("jedoxtest/EU_PM_CUBE02","EUPM_Mittel2_Cube",Bet_AT_Saeulen_Datenstand,"Alle Beteiligungen","Alle Koordinatoren","Alle Unternehmensgrößen","-2","Alle Organisationstypen",28,"Alle Expertevaluierungsstatus",$B29,"-2",-2,"-2","Alle","-2","foerderung")/1000000,2)</f>
        <v>6418.8</v>
      </c>
      <c r="E29" s="123">
        <f t="shared" ca="1" si="2"/>
        <v>1.875116844269957E-2</v>
      </c>
      <c r="F29" s="303">
        <f ca="1">ROUND(_xll.PALO.DATAC("jedoxtest/EU_PM_CUBE02","EUPM_Mittel2_Cube",Bet_AT_Saeulen_Datenstand,"Alle Beteiligungen","Alle Koordinatoren","Alle Unternehmensgrößen","-2","Alle Organisationstypen",28,"Alle Expertevaluierungsstatus",$B29,"-2",1,"-2","Alle","-2","foerderung")/1000000,2)</f>
        <v>120.36</v>
      </c>
      <c r="G29" s="603"/>
      <c r="H29" s="603"/>
      <c r="I29" s="603"/>
      <c r="L29" s="419"/>
      <c r="M29" s="420"/>
      <c r="N29" s="420"/>
      <c r="O29" s="421"/>
      <c r="P29" s="118"/>
      <c r="Q29" s="118"/>
    </row>
    <row r="30" spans="1:17" s="62" customFormat="1" ht="15" customHeight="1">
      <c r="A30" s="603"/>
      <c r="B30" s="44">
        <v>6154</v>
      </c>
      <c r="C30" s="44" t="s">
        <v>164</v>
      </c>
      <c r="D30" s="303">
        <f ca="1">ROUND(_xll.PALO.DATAC("jedoxtest/EU_PM_CUBE02","EUPM_Mittel2_Cube",Bet_AT_Saeulen_Datenstand,"Alle Beteiligungen","Alle Koordinatoren","Alle Unternehmensgrößen","-2","Alle Organisationstypen",28,"Alle Expertevaluierungsstatus",$B30,"-2",-2,"-2","Alle","-2","foerderung")/1000000,2)</f>
        <v>1889.13</v>
      </c>
      <c r="E30" s="123">
        <f t="shared" ca="1" si="2"/>
        <v>1.4112316251396145E-2</v>
      </c>
      <c r="F30" s="303">
        <f ca="1">ROUND(_xll.PALO.DATAC("jedoxtest/EU_PM_CUBE02","EUPM_Mittel2_Cube",Bet_AT_Saeulen_Datenstand,"Alle Beteiligungen","Alle Koordinatoren","Alle Unternehmensgrößen","-2","Alle Organisationstypen",28,"Alle Expertevaluierungsstatus",$B30,"-2",1,"-2","Alle","-2","foerderung")/1000000,2)</f>
        <v>26.66</v>
      </c>
      <c r="G30" s="603"/>
      <c r="H30" s="603"/>
      <c r="I30" s="603"/>
      <c r="L30" s="419"/>
      <c r="M30" s="420"/>
      <c r="N30" s="420"/>
      <c r="O30" s="421"/>
      <c r="P30" s="118"/>
      <c r="Q30" s="118"/>
    </row>
    <row r="31" spans="1:17" s="62" customFormat="1" ht="15" customHeight="1">
      <c r="A31" s="603"/>
      <c r="B31" s="44">
        <v>6150</v>
      </c>
      <c r="C31" s="44" t="str">
        <f ca="1">_xll.PALO.DATAC("jedoxtest/EU_PM_CUBE02","#_Programme","Langbezeichnung",$B31)&amp;" 2021-2025"</f>
        <v>Euratom 2021-2025</v>
      </c>
      <c r="D31" s="303">
        <f ca="1">ROUND(_xll.PALO.DATAC("jedoxtest/EU_PM_CUBE02","EUPM_Mittel2_Cube",Bet_AT_Saeulen_Datenstand,"Alle Beteiligungen","Alle Koordinatoren","Alle Unternehmensgrößen","-2","Alle Organisationstypen",28,"Alle Expertevaluierungsstatus",$B31,"-2",-2,"-2","Alle","-2","foerderung")/1000000,2)</f>
        <v>0</v>
      </c>
      <c r="E31" s="123" t="e">
        <f t="shared" ca="1" si="2"/>
        <v>#DIV/0!</v>
      </c>
      <c r="F31" s="303">
        <f ca="1">ROUND(_xll.PALO.DATAC("jedoxtest/EU_PM_CUBE02","EUPM_Mittel2_Cube",Bet_AT_Saeulen_Datenstand,"Alle Beteiligungen","Alle Koordinatoren","Alle Unternehmensgrößen","-2","Alle Organisationstypen",28,"Alle Expertevaluierungsstatus",$B31,"-2",1,"-2","Alle","-2","foerderung")/1000000,2)</f>
        <v>0</v>
      </c>
      <c r="G31" s="603"/>
      <c r="H31" s="603"/>
      <c r="I31" s="603"/>
      <c r="L31" s="419"/>
      <c r="M31" s="420"/>
      <c r="N31" s="420"/>
      <c r="O31" s="421"/>
      <c r="P31" s="118"/>
      <c r="Q31" s="118"/>
    </row>
    <row r="32" spans="1:17" s="62" customFormat="1" ht="29.25" customHeight="1">
      <c r="A32" s="603"/>
      <c r="B32" s="603"/>
      <c r="C32" s="603"/>
      <c r="D32" s="603"/>
      <c r="E32" s="603"/>
      <c r="F32" s="603"/>
      <c r="G32" s="603"/>
      <c r="H32" s="603"/>
      <c r="I32" s="603"/>
      <c r="L32" s="118"/>
      <c r="M32" s="118"/>
      <c r="N32" s="118"/>
      <c r="O32" s="118"/>
      <c r="P32" s="118"/>
      <c r="Q32" s="118"/>
    </row>
    <row r="33" spans="1:17" s="62" customFormat="1" ht="29.25" customHeight="1">
      <c r="A33" s="603"/>
      <c r="B33" s="603"/>
      <c r="C33" s="603"/>
      <c r="D33" s="603"/>
      <c r="E33" s="603"/>
      <c r="F33" s="603"/>
      <c r="G33" s="603"/>
      <c r="H33" s="603"/>
      <c r="I33" s="603"/>
      <c r="L33" s="118"/>
      <c r="M33" s="118"/>
      <c r="N33" s="118"/>
      <c r="O33" s="118"/>
      <c r="P33" s="118"/>
      <c r="Q33" s="118"/>
    </row>
    <row r="34" spans="1:17" s="62" customFormat="1" ht="29.25" customHeight="1">
      <c r="A34" s="603"/>
      <c r="B34" s="603"/>
      <c r="C34" s="603"/>
      <c r="D34" s="603"/>
      <c r="E34" s="603"/>
      <c r="F34" s="603"/>
      <c r="G34" s="603"/>
      <c r="H34" s="603"/>
      <c r="I34" s="603"/>
      <c r="L34" s="118"/>
      <c r="M34" s="118"/>
      <c r="N34" s="118"/>
      <c r="O34" s="118"/>
      <c r="P34" s="118"/>
      <c r="Q34" s="118"/>
    </row>
    <row r="35" spans="1:17" s="62" customFormat="1" ht="15" customHeight="1">
      <c r="A35" s="603"/>
      <c r="B35" s="603"/>
      <c r="C35" s="603"/>
      <c r="D35" s="603"/>
      <c r="E35" s="603"/>
      <c r="F35" s="603"/>
      <c r="G35" s="603"/>
      <c r="H35" s="603"/>
      <c r="I35" s="603"/>
    </row>
    <row r="36" spans="1:17" s="62" customFormat="1" ht="15" customHeight="1">
      <c r="A36" s="603"/>
      <c r="B36" s="603"/>
      <c r="C36" s="603"/>
      <c r="D36" s="603"/>
      <c r="E36" s="603"/>
      <c r="F36" s="603"/>
      <c r="G36" s="603"/>
      <c r="H36" s="603"/>
      <c r="I36" s="603"/>
    </row>
    <row r="37" spans="1:17" s="62" customFormat="1" ht="26.25" customHeight="1">
      <c r="A37" s="603"/>
      <c r="B37" s="603"/>
      <c r="C37" s="603"/>
      <c r="D37" s="603"/>
      <c r="E37" s="603"/>
      <c r="F37" s="603"/>
      <c r="G37" s="603"/>
      <c r="H37" s="603"/>
      <c r="I37" s="603"/>
    </row>
    <row r="38" spans="1:17" s="62" customFormat="1" ht="26.25" customHeight="1">
      <c r="A38" s="603"/>
      <c r="B38" s="603"/>
      <c r="C38" s="603"/>
      <c r="D38" s="603"/>
      <c r="E38" s="603"/>
      <c r="F38" s="603"/>
      <c r="G38" s="603"/>
      <c r="H38" s="603"/>
      <c r="I38" s="603"/>
    </row>
    <row r="39" spans="1:17" s="62" customFormat="1" ht="26.25" customHeight="1">
      <c r="A39" s="603"/>
      <c r="B39" s="603"/>
      <c r="C39" s="603"/>
      <c r="D39" s="603"/>
      <c r="E39" s="603"/>
      <c r="F39" s="603"/>
      <c r="G39" s="603"/>
      <c r="H39" s="603"/>
      <c r="I39" s="603"/>
    </row>
    <row r="40" spans="1:17" s="62" customFormat="1" ht="15" customHeight="1">
      <c r="A40" s="603"/>
      <c r="B40" s="603"/>
      <c r="C40" s="603"/>
      <c r="D40" s="603"/>
      <c r="E40" s="603"/>
      <c r="F40" s="603"/>
      <c r="G40" s="603"/>
      <c r="H40" s="603"/>
      <c r="I40" s="603"/>
    </row>
    <row r="41" spans="1:17" s="62" customFormat="1" ht="15" customHeight="1">
      <c r="A41" s="603"/>
      <c r="B41" s="603"/>
      <c r="C41" s="603"/>
      <c r="D41" s="603"/>
      <c r="E41" s="603"/>
      <c r="F41" s="603"/>
      <c r="G41" s="603"/>
      <c r="H41" s="603"/>
      <c r="I41" s="603"/>
    </row>
    <row r="42" spans="1:17" s="62" customFormat="1" ht="15" customHeight="1">
      <c r="A42" s="603"/>
      <c r="B42" s="603"/>
      <c r="C42" s="603"/>
      <c r="D42" s="705" t="str">
        <f ca="1">"Quelle: EC "&amp;_xll.PALO.DATA("jedoxtest/EU_PM_CUBE02","#_Datenstand","reference_month",Bet_AT_Saeulen_Datenstand)&amp;"/"&amp;_xll.PALO.DATA("jedoxtest/EU_PM_CUBE02","#_Datenstand","reference_year",Bet_AT_Saeulen_Datenstand)&amp;"; Darstellung FFG"</f>
        <v>Quelle: EC 5/2026; Darstellung FFG</v>
      </c>
      <c r="E42" s="705"/>
      <c r="F42" s="705"/>
      <c r="G42" s="705"/>
      <c r="H42" s="705"/>
      <c r="I42" s="603"/>
    </row>
    <row r="43" spans="1:17" s="62" customFormat="1" ht="15" customHeight="1">
      <c r="A43" s="603"/>
      <c r="B43" s="603"/>
      <c r="C43" s="603"/>
      <c r="D43"/>
      <c r="E43"/>
      <c r="F43"/>
      <c r="G43"/>
      <c r="H43" s="603"/>
      <c r="I43" s="603"/>
    </row>
    <row r="44" spans="1:17" s="62" customFormat="1" ht="15" customHeight="1">
      <c r="A44" s="603"/>
      <c r="B44" s="603"/>
      <c r="C44" s="603"/>
      <c r="D44" s="603"/>
      <c r="E44" s="603"/>
      <c r="F44" s="603"/>
      <c r="G44" s="603"/>
      <c r="H44" s="603"/>
      <c r="I44" s="603"/>
    </row>
    <row r="45" spans="1:17" s="62" customFormat="1">
      <c r="A45" s="603"/>
      <c r="B45" s="603"/>
      <c r="C45" s="603"/>
      <c r="D45" s="603"/>
      <c r="E45" s="603"/>
      <c r="F45" s="603"/>
      <c r="G45" s="603"/>
      <c r="H45" s="603"/>
      <c r="I45" s="603"/>
    </row>
    <row r="46" spans="1:17" s="62" customFormat="1">
      <c r="A46" s="603"/>
      <c r="B46" s="603"/>
      <c r="C46" s="603"/>
      <c r="D46" s="603"/>
      <c r="E46" s="603"/>
      <c r="F46" s="603"/>
      <c r="G46" s="603"/>
      <c r="H46" s="603"/>
      <c r="I46" s="603"/>
    </row>
    <row r="48" spans="1:17" hidden="1">
      <c r="A48" s="604" t="b">
        <f ca="1">_xll.PALO.HIDEROW(ISBLANK($A$1))</f>
        <v>1</v>
      </c>
      <c r="C48" s="604" t="s">
        <v>10</v>
      </c>
      <c r="D48" s="604" t="str">
        <f ca="1">_xll.PALO.ENAME("jedoxtest/EU_PM_CUBE02","Datenstand",3)</f>
        <v>117</v>
      </c>
    </row>
  </sheetData>
  <mergeCells count="2">
    <mergeCell ref="C3:G3"/>
    <mergeCell ref="D42:H42"/>
  </mergeCells>
  <pageMargins left="0.70866141732283472" right="0.70866141732283472" top="0.94488188976377963" bottom="0.74803149606299213" header="0.51181102362204722" footer="0.31496062992125984"/>
  <pageSetup paperSize="9" scale="76"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rgb="FF00B0F0"/>
    <pageSetUpPr fitToPage="1"/>
  </sheetPr>
  <dimension ref="A1:P58"/>
  <sheetViews>
    <sheetView zoomScaleNormal="100" workbookViewId="0">
      <selection activeCell="A2" sqref="A2"/>
    </sheetView>
  </sheetViews>
  <sheetFormatPr baseColWidth="10" defaultColWidth="11.42578125" defaultRowHeight="15"/>
  <cols>
    <col min="1" max="1" width="11.42578125" style="61" customWidth="1"/>
    <col min="2" max="2" width="6.140625" style="61" hidden="1" customWidth="1"/>
    <col min="3" max="3" width="3.85546875" style="35" customWidth="1"/>
    <col min="4" max="4" width="16.5703125" style="61" customWidth="1"/>
    <col min="5" max="5" width="21.28515625" style="61" customWidth="1"/>
    <col min="6" max="6" width="8.7109375" style="61" customWidth="1"/>
    <col min="7" max="7" width="11.42578125" style="61"/>
    <col min="8" max="8" width="10.85546875" style="61" customWidth="1"/>
    <col min="9" max="9" width="11.7109375" style="61" customWidth="1"/>
    <col min="10" max="10" width="5.85546875" style="61" customWidth="1"/>
    <col min="11" max="11" width="13.42578125" style="61" bestFit="1" customWidth="1"/>
    <col min="12" max="12" width="13.7109375" style="61" hidden="1" customWidth="1"/>
    <col min="13" max="13" width="18.85546875" style="61" bestFit="1" customWidth="1"/>
    <col min="14" max="14" width="2.28515625" style="35" customWidth="1"/>
    <col min="15" max="15" width="2.85546875" style="35" customWidth="1"/>
    <col min="16" max="16384" width="11.42578125" style="61"/>
  </cols>
  <sheetData>
    <row r="1" spans="2:16" s="35" customFormat="1" ht="15" customHeight="1">
      <c r="B1" s="35" t="b">
        <f ca="1">_xll.PALO.HIDECOLUMN(ISBLANK($A$1))</f>
        <v>1</v>
      </c>
    </row>
    <row r="2" spans="2:16" s="35" customFormat="1" ht="24.75" customHeight="1">
      <c r="D2" s="712" t="str">
        <f ca="1">"Anteil Österreichs an "&amp;_xll.PALO.DATA("jedoxtest/EU_PM_CUBE02","#_Datenstand","frameworkprog_long",AT_ExSc_Datenstand)&amp;" in Excellent Science"</f>
        <v>Anteil Österreichs an Horizon Europe in Excellent Science</v>
      </c>
      <c r="E2" s="712"/>
      <c r="F2" s="713"/>
      <c r="G2" s="713"/>
      <c r="H2" s="713"/>
      <c r="I2" s="713"/>
      <c r="J2" s="713"/>
      <c r="K2" s="713"/>
      <c r="L2" s="713"/>
      <c r="M2" s="713"/>
      <c r="N2" s="713"/>
    </row>
    <row r="3" spans="2:16" s="35" customFormat="1" ht="24.75" customHeight="1">
      <c r="D3" s="51"/>
      <c r="E3" s="51"/>
      <c r="F3" s="52"/>
      <c r="G3" s="52"/>
      <c r="H3" s="52"/>
      <c r="I3" s="52"/>
      <c r="J3" s="53"/>
      <c r="K3" s="435"/>
      <c r="L3" s="435"/>
      <c r="M3" s="435"/>
      <c r="N3" s="435"/>
      <c r="O3" s="40"/>
      <c r="P3" s="40"/>
    </row>
    <row r="4" spans="2:16" s="35" customFormat="1" ht="15" customHeight="1">
      <c r="E4" s="716"/>
      <c r="F4" s="716"/>
      <c r="G4" s="716"/>
      <c r="H4" s="716"/>
      <c r="I4" s="716"/>
      <c r="J4" s="716"/>
      <c r="K4" s="717"/>
      <c r="L4" s="717"/>
      <c r="M4" s="717"/>
      <c r="N4" s="40"/>
      <c r="O4" s="40"/>
      <c r="P4" s="40"/>
    </row>
    <row r="5" spans="2:16" s="35" customFormat="1" ht="15" customHeight="1">
      <c r="E5" s="716" t="s">
        <v>20</v>
      </c>
      <c r="F5" s="716"/>
      <c r="G5" s="716"/>
      <c r="H5" s="716" t="s">
        <v>19</v>
      </c>
      <c r="I5" s="716"/>
      <c r="J5" s="716"/>
      <c r="K5" s="717" t="s">
        <v>18</v>
      </c>
      <c r="L5" s="717"/>
      <c r="M5" s="717"/>
      <c r="N5" s="40"/>
      <c r="O5" s="40"/>
      <c r="P5" s="40"/>
    </row>
    <row r="6" spans="2:16" s="35" customFormat="1" ht="15" customHeight="1">
      <c r="D6" s="54"/>
      <c r="E6" s="55" t="s">
        <v>17</v>
      </c>
      <c r="F6" s="55" t="s">
        <v>16</v>
      </c>
      <c r="G6" s="55" t="s">
        <v>15</v>
      </c>
      <c r="H6" s="55" t="s">
        <v>17</v>
      </c>
      <c r="I6" s="55" t="s">
        <v>16</v>
      </c>
      <c r="J6" s="55" t="s">
        <v>15</v>
      </c>
      <c r="K6" s="436" t="s">
        <v>17</v>
      </c>
      <c r="L6" s="436" t="s">
        <v>16</v>
      </c>
      <c r="M6" s="437" t="s">
        <v>15</v>
      </c>
      <c r="N6" s="40"/>
      <c r="O6" s="40"/>
      <c r="P6" s="40"/>
    </row>
    <row r="7" spans="2:16" s="35" customFormat="1" ht="15" customHeight="1">
      <c r="B7" s="327">
        <v>6155</v>
      </c>
      <c r="D7" s="54" t="str">
        <f ca="1">_xll.PALO.DATA("jedoxtest/EU_PM_CUBE02","#_Programme","Langbezeichnung",$B7)</f>
        <v>European Research Council (ERC)</v>
      </c>
      <c r="E7" s="56">
        <f ca="1">H7/$K7</f>
        <v>3.821489333856825E-2</v>
      </c>
      <c r="F7" s="56">
        <f ca="1">I7/$L7</f>
        <v>4.1468916911335668E-2</v>
      </c>
      <c r="G7" s="56">
        <f ca="1">J7/$M7</f>
        <v>4.159041756779238E-2</v>
      </c>
      <c r="H7" s="57">
        <f ca="1">_xll.PALO.DATAC("jedoxtest/EU_PM_CUBE02","EUPM_Mittel2_Cube",AT_ExSc_Datenstand,"Alle Beteiligungen","Alle Koordinatoren","Alle Unternehmensgrößen","-2","Alle Organisationstypen",28,"Alle Expertevaluierungsstatus",$B7,"-2",1,"-2","Alle","-2","anzahl_beteiligungen")</f>
        <v>292</v>
      </c>
      <c r="I7" s="58">
        <f ca="1">_xll.PALO.DATAC("jedoxtest/EU_PM_CUBE02","EUPM_Mittel2_Cube",AT_ExSc_Datenstand,"Alle Beteiligungen","Alle Koordinatoren","Alle Unternehmensgrößen","-2","Alle Organisationstypen",28,"Alle Expertevaluierungsstatus",$B7,"-2",1,"-2","Alle","-2","foerderung")/1000000</f>
        <v>447.84801045999995</v>
      </c>
      <c r="J7" s="59">
        <f ca="1">_xll.PALO.DATAC("jedoxtest/EU_PM_CUBE02","EUPM_Mittel2_Cube",AT_ExSc_Datenstand,"Alle Beteiligungen","Alle Koordinatoren","Alle Unternehmensgrößen","-2","Alle Organisationstypen",28,"Alle Expertevaluierungsstatus",$B7,"-2",1,"-2","Alle","-2","anzahl_koordinatoren")</f>
        <v>250</v>
      </c>
      <c r="K7" s="438">
        <f ca="1">_xll.PALO.DATAC("jedoxtest/EU_PM_CUBE02","EUPM_Mittel2_Cube",AT_ExSc_Datenstand,"Alle Beteiligungen","Alle Koordinatoren","Alle Unternehmensgrößen","-2","Alle Organisationstypen",28,"Alle Expertevaluierungsstatus",$B7,"-2",-2,"-2","Alle","-2","anzahl_beteiligungen")</f>
        <v>7641</v>
      </c>
      <c r="L7" s="439">
        <f ca="1">_xll.PALO.DATAC("jedoxtest/EU_PM_CUBE02","EUPM_Mittel2_Cube",AT_ExSc_Datenstand,"Alle Beteiligungen","Alle Koordinatoren","Alle Unternehmensgrößen","-2","Alle Organisationstypen",28,"Alle Expertevaluierungsstatus",$B7,"-2","-2","-2","Alle","-2","foerderung")/1000000</f>
        <v>10799.60712303</v>
      </c>
      <c r="M7" s="438">
        <f ca="1">_xll.PALO.DATAC("jedoxtest/EU_PM_CUBE02","EUPM_Mittel2_Cube",AT_ExSc_Datenstand,"Alle Beteiligungen","Alle Koordinatoren","Alle Unternehmensgrößen","-2","Alle Organisationstypen",28,"Alle Expertevaluierungsstatus",$B7,"-2",-2,"-2","Alle","-2","anzahl_koordinatoren")</f>
        <v>6011</v>
      </c>
      <c r="N7" s="40"/>
      <c r="O7" s="40"/>
      <c r="P7" s="40"/>
    </row>
    <row r="8" spans="2:16" s="35" customFormat="1" ht="15" customHeight="1">
      <c r="B8" s="327">
        <v>6156</v>
      </c>
      <c r="D8" s="54" t="str">
        <f ca="1">_xll.PALO.DATA("jedoxtest/EU_PM_CUBE02","#_Programme","Langbezeichnung",$B8)</f>
        <v>Marie Skłodowska-Curie Actions (MSCA)</v>
      </c>
      <c r="E8" s="56">
        <f ca="1">H8/$K8</f>
        <v>2.3622047244094488E-2</v>
      </c>
      <c r="F8" s="56">
        <f ca="1">I8/$L8</f>
        <v>2.8149582897707453E-2</v>
      </c>
      <c r="G8" s="56">
        <f ca="1">J8/$M8</f>
        <v>3.0129808264856495E-2</v>
      </c>
      <c r="H8" s="57">
        <f ca="1">_xll.PALO.DATAC("jedoxtest/EU_PM_CUBE02","EUPM_Mittel2_Cube",AT_ExSc_Datenstand,"Alle Beteiligungen","Alle Koordinatoren","Alle Unternehmensgrößen","-2","Alle Organisationstypen",28,"Alle Expertevaluierungsstatus",$B8,"-2",1,"-2","Alle","-2","anzahl_beteiligungen")</f>
        <v>729</v>
      </c>
      <c r="I8" s="58">
        <f ca="1">_xll.PALO.DATAC("jedoxtest/EU_PM_CUBE02","EUPM_Mittel2_Cube",AT_ExSc_Datenstand,"Alle Beteiligungen","Alle Koordinatoren","Alle Unternehmensgrößen","-2","Alle Organisationstypen",28,"Alle Expertevaluierungsstatus",$B8,"-2",1,"-2","Alle","-2","foerderung")/1000000</f>
        <v>126.06924600000001</v>
      </c>
      <c r="J8" s="59">
        <f ca="1">_xll.PALO.DATAC("jedoxtest/EU_PM_CUBE02","EUPM_Mittel2_Cube",AT_ExSc_Datenstand,"Alle Beteiligungen","Alle Koordinatoren","Alle Unternehmensgrößen","-2","Alle Organisationstypen",28,"Alle Expertevaluierungsstatus",$B8,"-2",1,"-2","Alle","-2","anzahl_koordinatoren")</f>
        <v>253</v>
      </c>
      <c r="K8" s="438">
        <f ca="1">_xll.PALO.DATAC("jedoxtest/EU_PM_CUBE02","EUPM_Mittel2_Cube",AT_ExSc_Datenstand,"Alle Beteiligungen","Alle Koordinatoren","Alle Unternehmensgrößen","-2","Alle Organisationstypen",28,"Alle Expertevaluierungsstatus",$B8,"-2",-2,"-2","Alle","-2","anzahl_beteiligungen")</f>
        <v>30861</v>
      </c>
      <c r="L8" s="439">
        <f ca="1">_xll.PALO.DATAC("jedoxtest/EU_PM_CUBE02","EUPM_Mittel2_Cube",AT_ExSc_Datenstand,"Alle Beteiligungen","Alle Koordinatoren","Alle Unternehmensgrößen","-2","Alle Organisationstypen",28,"Alle Expertevaluierungsstatus",$B8,"-2","-2","-2","Alle","-2","foerderung")/1000000</f>
        <v>4478.54756705</v>
      </c>
      <c r="M8" s="438">
        <f ca="1">_xll.PALO.DATAC("jedoxtest/EU_PM_CUBE02","EUPM_Mittel2_Cube",AT_ExSc_Datenstand,"Alle Beteiligungen","Alle Koordinatoren","Alle Unternehmensgrößen","-2","Alle Organisationstypen",28,"Alle Expertevaluierungsstatus",$B8,"-2",-2,"-2","Alle","-2","anzahl_koordinatoren")</f>
        <v>8397</v>
      </c>
      <c r="N8" s="40"/>
      <c r="O8" s="40"/>
      <c r="P8" s="40"/>
    </row>
    <row r="9" spans="2:16" s="35" customFormat="1" ht="15" customHeight="1">
      <c r="B9" s="327">
        <v>6157</v>
      </c>
      <c r="D9" s="54" t="str">
        <f ca="1">_xll.PALO.DATA("jedoxtest/EU_PM_CUBE02","#_Programme","Langbezeichnung",$B9)</f>
        <v>Research infrastructures</v>
      </c>
      <c r="E9" s="56">
        <f ca="1">H9/$K9</f>
        <v>2.2510980966325037E-2</v>
      </c>
      <c r="F9" s="56">
        <f ca="1">I9/$L9</f>
        <v>2.1946724151773584E-2</v>
      </c>
      <c r="G9" s="56">
        <f ca="1">J9/$M9</f>
        <v>2.3809523809523808E-2</v>
      </c>
      <c r="H9" s="57">
        <f ca="1">_xll.PALO.DATAC("jedoxtest/EU_PM_CUBE02","EUPM_Mittel2_Cube",AT_ExSc_Datenstand,"Alle Beteiligungen","Alle Koordinatoren","Alle Unternehmensgrößen","-2","Alle Organisationstypen",28,"Alle Expertevaluierungsstatus",$B9,"-2",1,"-2","Alle","-2","anzahl_beteiligungen")</f>
        <v>123</v>
      </c>
      <c r="I9" s="58">
        <f ca="1">_xll.PALO.DATAC("jedoxtest/EU_PM_CUBE02","EUPM_Mittel2_Cube",AT_ExSc_Datenstand,"Alle Beteiligungen","Alle Koordinatoren","Alle Unternehmensgrößen","-2","Alle Organisationstypen",28,"Alle Expertevaluierungsstatus",$B9,"-2",1,"-2","Alle","-2","foerderung")/1000000</f>
        <v>35.791437700000003</v>
      </c>
      <c r="J9" s="59">
        <f ca="1">_xll.PALO.DATAC("jedoxtest/EU_PM_CUBE02","EUPM_Mittel2_Cube",AT_ExSc_Datenstand,"Alle Beteiligungen","Alle Koordinatoren","Alle Unternehmensgrößen","-2","Alle Organisationstypen",28,"Alle Expertevaluierungsstatus",$B9,"-2",1,"-2","Alle","-2","anzahl_koordinatoren")</f>
        <v>6</v>
      </c>
      <c r="K9" s="438">
        <f ca="1">_xll.PALO.DATAC("jedoxtest/EU_PM_CUBE02","EUPM_Mittel2_Cube",AT_ExSc_Datenstand,"Alle Beteiligungen","Alle Koordinatoren","Alle Unternehmensgrößen","-2","Alle Organisationstypen",28,"Alle Expertevaluierungsstatus",$B9,"-2",-2,"-2","Alle","-2","anzahl_beteiligungen")</f>
        <v>5464</v>
      </c>
      <c r="L9" s="439">
        <f ca="1">_xll.PALO.DATAC("jedoxtest/EU_PM_CUBE02","EUPM_Mittel2_Cube",AT_ExSc_Datenstand,"Alle Beteiligungen","Alle Koordinatoren","Alle Unternehmensgrößen","-2","Alle Organisationstypen",28,"Alle Expertevaluierungsstatus",$B9,"-2","-2","-2","Alle","-2","foerderung")/1000000</f>
        <v>1630.83280459</v>
      </c>
      <c r="M9" s="438">
        <f ca="1">_xll.PALO.DATAC("jedoxtest/EU_PM_CUBE02","EUPM_Mittel2_Cube",AT_ExSc_Datenstand,"Alle Beteiligungen","Alle Koordinatoren","Alle Unternehmensgrößen","-2","Alle Organisationstypen",28,"Alle Expertevaluierungsstatus",$B9,"-2",-2,"-2","Alle","-2","anzahl_koordinatoren")</f>
        <v>252</v>
      </c>
      <c r="N9" s="40"/>
      <c r="O9" s="40"/>
      <c r="P9" s="40"/>
    </row>
    <row r="10" spans="2:16" s="35" customFormat="1" ht="15" customHeight="1">
      <c r="B10" s="44">
        <v>6151</v>
      </c>
      <c r="D10" s="54" t="str">
        <f ca="1">_xll.PALO.DATA("jedoxtest/EU_PM_CUBE02","#_Programme","Langbezeichnung",$B10)</f>
        <v>Excellent Science</v>
      </c>
      <c r="E10" s="56">
        <f ca="1">H10/$K10</f>
        <v>2.6020106445890007E-2</v>
      </c>
      <c r="F10" s="56">
        <f ca="1">I10/$L10</f>
        <v>3.6058261581433847E-2</v>
      </c>
      <c r="G10" s="56">
        <f ca="1">J10/$M10</f>
        <v>3.4720327421555251E-2</v>
      </c>
      <c r="H10" s="57">
        <f ca="1">_xll.PALO.DATAC("jedoxtest/EU_PM_CUBE02","EUPM_Mittel2_Cube",AT_ExSc_Datenstand,"Alle Beteiligungen","Alle Koordinatoren","Alle Unternehmensgrößen","-2","Alle Organisationstypen",28,"Alle Expertevaluierungsstatus",$B10,"-2",1,"-2","Alle","-2","anzahl_beteiligungen")</f>
        <v>1144</v>
      </c>
      <c r="I10" s="58">
        <f ca="1">_xll.PALO.DATAC("jedoxtest/EU_PM_CUBE02","EUPM_Mittel2_Cube",AT_ExSc_Datenstand,"Alle Beteiligungen","Alle Koordinatoren","Alle Unternehmensgrößen","-2","Alle Organisationstypen",28,"Alle Expertevaluierungsstatus",$B10,"-2",1,"-2","Alle","-2","foerderung")/1000000</f>
        <v>609.70869416000107</v>
      </c>
      <c r="J10" s="59">
        <f ca="1">_xll.PALO.DATAC("jedoxtest/EU_PM_CUBE02","EUPM_Mittel2_Cube",AT_ExSc_Datenstand,"Alle Beteiligungen","Alle Koordinatoren","Alle Unternehmensgrößen","-2","Alle Organisationstypen",28,"Alle Expertevaluierungsstatus",$B10,"-2",1,"-2","Alle","-2","anzahl_koordinatoren")</f>
        <v>509</v>
      </c>
      <c r="K10" s="438">
        <f ca="1">_xll.PALO.DATAC("jedoxtest/EU_PM_CUBE02","EUPM_Mittel2_Cube",AT_ExSc_Datenstand,"Alle Beteiligungen","Alle Koordinatoren","Alle Unternehmensgrößen","-2","Alle Organisationstypen",28,"Alle Expertevaluierungsstatus",$B10,"-2",-2,"-2","Alle","-2","anzahl_beteiligungen")</f>
        <v>43966</v>
      </c>
      <c r="L10" s="439">
        <f ca="1">_xll.PALO.DATAC("jedoxtest/EU_PM_CUBE02","EUPM_Mittel2_Cube",AT_ExSc_Datenstand,"Alle Beteiligungen","Alle Koordinatoren","Alle Unternehmensgrößen","-2","Alle Organisationstypen",28,"Alle Expertevaluierungsstatus",$B10,"-2","-2","-2","Alle","-2","foerderung")/1000000</f>
        <v>16908.987494669902</v>
      </c>
      <c r="M10" s="438">
        <f ca="1">_xll.PALO.DATAC("jedoxtest/EU_PM_CUBE02","EUPM_Mittel2_Cube",AT_ExSc_Datenstand,"Alle Beteiligungen","Alle Koordinatoren","Alle Unternehmensgrößen","-2","Alle Organisationstypen",28,"Alle Expertevaluierungsstatus",$B10,"-2",-2,"-2","Alle","-2","anzahl_koordinatoren")</f>
        <v>14660</v>
      </c>
      <c r="N10" s="40"/>
      <c r="O10" s="40"/>
      <c r="P10" s="40"/>
    </row>
    <row r="11" spans="2:16" s="35" customFormat="1" ht="15" customHeight="1">
      <c r="K11" s="40"/>
      <c r="L11" s="40"/>
      <c r="M11" s="40"/>
      <c r="N11" s="40"/>
      <c r="O11" s="40"/>
      <c r="P11" s="40"/>
    </row>
    <row r="12" spans="2:16" s="35" customFormat="1" ht="15" customHeight="1">
      <c r="K12" s="40"/>
      <c r="L12" s="40"/>
      <c r="M12" s="40"/>
      <c r="N12" s="40"/>
      <c r="O12" s="40"/>
      <c r="P12" s="40"/>
    </row>
    <row r="13" spans="2:16" s="35" customFormat="1" ht="15" customHeight="1"/>
    <row r="14" spans="2:16" s="35" customFormat="1" ht="15" customHeight="1"/>
    <row r="15" spans="2:16" s="35" customFormat="1" ht="15" customHeight="1"/>
    <row r="16" spans="2:16" s="35" customFormat="1" ht="15" customHeight="1"/>
    <row r="17" spans="2:14" s="35" customFormat="1" ht="15" customHeight="1"/>
    <row r="18" spans="2:14" s="35" customFormat="1" ht="15" customHeight="1"/>
    <row r="19" spans="2:14" s="35" customFormat="1" ht="15" customHeight="1"/>
    <row r="20" spans="2:14" s="35" customFormat="1" ht="15" customHeight="1"/>
    <row r="21" spans="2:14" s="35" customFormat="1" ht="15" customHeight="1"/>
    <row r="22" spans="2:14" s="35" customFormat="1" ht="15" customHeight="1"/>
    <row r="23" spans="2:14" s="35" customFormat="1" ht="15" customHeight="1"/>
    <row r="24" spans="2:14" s="35" customFormat="1" ht="7.5" customHeight="1"/>
    <row r="25" spans="2:14" s="35" customFormat="1" ht="9" customHeight="1"/>
    <row r="26" spans="2:14" s="35" customFormat="1" ht="5.25" customHeight="1"/>
    <row r="27" spans="2:14" s="35" customFormat="1" ht="15" customHeight="1">
      <c r="D27" s="718"/>
      <c r="E27" s="718"/>
      <c r="F27" s="718"/>
      <c r="G27" s="718"/>
      <c r="H27" s="718"/>
      <c r="I27" s="718"/>
      <c r="J27" s="718"/>
      <c r="K27" s="718"/>
      <c r="L27" s="718"/>
      <c r="M27" s="718"/>
    </row>
    <row r="28" spans="2:14" s="35" customFormat="1" ht="15" customHeight="1">
      <c r="D28" s="55"/>
      <c r="E28" s="55"/>
      <c r="F28" s="55"/>
      <c r="G28" s="55"/>
      <c r="H28" s="55"/>
      <c r="I28" s="55"/>
    </row>
    <row r="29" spans="2:14" s="35" customFormat="1" ht="23.25" customHeight="1">
      <c r="D29" s="713" t="s">
        <v>272</v>
      </c>
      <c r="E29" s="713"/>
      <c r="F29" s="713"/>
      <c r="G29" s="713"/>
      <c r="H29" s="713"/>
      <c r="I29" s="713"/>
      <c r="J29" s="713"/>
      <c r="K29" s="713"/>
      <c r="L29" s="713"/>
      <c r="M29" s="713"/>
      <c r="N29" s="713"/>
    </row>
    <row r="30" spans="2:14" s="35" customFormat="1" ht="23.25" customHeight="1">
      <c r="D30" s="60"/>
      <c r="E30" s="60"/>
      <c r="F30" s="60"/>
      <c r="G30" s="60"/>
      <c r="H30" s="60"/>
      <c r="I30" s="60"/>
      <c r="J30" s="60"/>
      <c r="K30" s="60"/>
      <c r="L30" s="60"/>
      <c r="M30" s="53"/>
      <c r="N30" s="53"/>
    </row>
    <row r="31" spans="2:14" s="35" customFormat="1" ht="23.25" customHeight="1">
      <c r="B31" s="35">
        <v>6155</v>
      </c>
      <c r="D31" s="54" t="str">
        <f ca="1">_xll.PALO.DATA("jedoxtest/EU_PM_CUBE02","#_Programme","Langbezeichnung",$B31)</f>
        <v>European Research Council (ERC)</v>
      </c>
      <c r="E31" s="58">
        <f ca="1">_xll.PALO.DATAC("jedoxtest/EU_PM_CUBE02","EUPM_Mittel2_Cube",AT_ExSc_Datenstand,"Alle Beteiligungen","Alle Koordinatoren","Alle Unternehmensgrößen","-2","Alle Organisationstypen",28,"Alle Expertevaluierungsstatus",$B31,"-2","-2","-2","Alle","-2","foerderung")/1000000</f>
        <v>10799.60712303</v>
      </c>
      <c r="F31" s="60"/>
      <c r="G31" s="60"/>
      <c r="H31" s="60"/>
      <c r="I31" s="60"/>
      <c r="J31" s="60"/>
      <c r="K31" s="60"/>
      <c r="L31" s="60"/>
      <c r="M31" s="53"/>
      <c r="N31" s="53"/>
    </row>
    <row r="32" spans="2:14" s="35" customFormat="1" ht="23.25" customHeight="1">
      <c r="B32" s="35">
        <v>6156</v>
      </c>
      <c r="D32" s="54" t="str">
        <f ca="1">_xll.PALO.DATA("jedoxtest/EU_PM_CUBE02","#_Programme","Langbezeichnung",$B32)</f>
        <v>Marie Skłodowska-Curie Actions (MSCA)</v>
      </c>
      <c r="E32" s="58">
        <f ca="1">_xll.PALO.DATAC("jedoxtest/EU_PM_CUBE02","EUPM_Mittel2_Cube",AT_ExSc_Datenstand,"Alle Beteiligungen","Alle Koordinatoren","Alle Unternehmensgrößen","-2","Alle Organisationstypen",28,"Alle Expertevaluierungsstatus",$B32,"-2","-2","-2","Alle","-2","foerderung")/1000000</f>
        <v>4478.54756705</v>
      </c>
      <c r="F32" s="60"/>
      <c r="G32" s="60"/>
      <c r="H32" s="60"/>
      <c r="I32" s="60"/>
      <c r="J32" s="60"/>
      <c r="K32" s="60"/>
      <c r="L32" s="60"/>
      <c r="M32" s="53"/>
      <c r="N32" s="53"/>
    </row>
    <row r="33" spans="1:15" s="35" customFormat="1" ht="23.25" customHeight="1">
      <c r="B33" s="35">
        <v>6157</v>
      </c>
      <c r="D33" s="54" t="str">
        <f ca="1">_xll.PALO.DATA("jedoxtest/EU_PM_CUBE02","#_Programme","Langbezeichnung",$B33)</f>
        <v>Research infrastructures</v>
      </c>
      <c r="E33" s="58">
        <f ca="1">_xll.PALO.DATAC("jedoxtest/EU_PM_CUBE02","EUPM_Mittel2_Cube",AT_ExSc_Datenstand,"Alle Beteiligungen","Alle Koordinatoren","Alle Unternehmensgrößen","-2","Alle Organisationstypen",28,"Alle Expertevaluierungsstatus",$B33,"-2","-2","-2","Alle","-2","foerderung")/1000000</f>
        <v>1630.83280459</v>
      </c>
      <c r="F33" s="60"/>
      <c r="G33" s="60"/>
      <c r="H33" s="60"/>
      <c r="I33" s="60"/>
      <c r="J33" s="60"/>
      <c r="K33" s="60"/>
      <c r="L33" s="60"/>
      <c r="M33" s="53"/>
      <c r="N33" s="53"/>
    </row>
    <row r="34" spans="1:15" s="35" customFormat="1" ht="23.25" customHeight="1">
      <c r="B34" s="44">
        <v>6151</v>
      </c>
      <c r="D34" s="54" t="str">
        <f ca="1">_xll.PALO.DATA("jedoxtest/EU_PM_CUBE02","#_Programme","Langbezeichnung",$B34)</f>
        <v>Excellent Science</v>
      </c>
      <c r="E34" s="58">
        <f ca="1">_xll.PALO.DATAC("jedoxtest/EU_PM_CUBE02","EUPM_Mittel2_Cube",AT_ExSc_Datenstand,"Alle Beteiligungen","Alle Koordinatoren","Alle Unternehmensgrößen","-2","Alle Organisationstypen",28,"Alle Expertevaluierungsstatus",$B34,"-2","-2","-2","Alle","-2","foerderung")/1000000</f>
        <v>16908.987494669902</v>
      </c>
      <c r="F34" s="60"/>
      <c r="G34" s="60"/>
      <c r="H34" s="60"/>
      <c r="I34" s="60"/>
      <c r="J34" s="60"/>
      <c r="K34" s="60"/>
      <c r="L34" s="60"/>
      <c r="M34" s="53"/>
      <c r="N34" s="53"/>
    </row>
    <row r="35" spans="1:15" s="35" customFormat="1" ht="23.25" customHeight="1">
      <c r="D35" s="54"/>
      <c r="E35" s="58"/>
      <c r="F35" s="60"/>
      <c r="G35" s="60"/>
      <c r="H35" s="60"/>
      <c r="I35" s="60"/>
      <c r="J35" s="60"/>
      <c r="K35" s="60"/>
      <c r="L35" s="60"/>
      <c r="M35" s="53"/>
      <c r="N35" s="53"/>
    </row>
    <row r="36" spans="1:15" s="35" customFormat="1" ht="17.25" customHeight="1">
      <c r="B36" s="44"/>
      <c r="D36" s="60"/>
      <c r="E36" s="60"/>
      <c r="F36" s="60"/>
      <c r="G36" s="60"/>
      <c r="H36" s="60"/>
      <c r="I36" s="60"/>
      <c r="J36" s="60"/>
      <c r="K36" s="60"/>
      <c r="L36" s="60"/>
      <c r="M36" s="53"/>
      <c r="N36" s="53"/>
    </row>
    <row r="37" spans="1:15" s="35" customFormat="1" ht="17.25" customHeight="1">
      <c r="D37" s="60"/>
      <c r="E37" s="60"/>
      <c r="F37" s="60"/>
      <c r="G37" s="60"/>
      <c r="H37" s="60"/>
      <c r="I37" s="60"/>
      <c r="J37" s="60"/>
      <c r="K37" s="60"/>
      <c r="L37" s="60"/>
      <c r="M37" s="53"/>
      <c r="N37" s="53"/>
    </row>
    <row r="38" spans="1:15" s="35" customFormat="1" ht="17.25" customHeight="1">
      <c r="D38" s="60"/>
      <c r="E38" s="60"/>
      <c r="F38" s="60"/>
      <c r="G38" s="60"/>
      <c r="H38" s="60"/>
      <c r="I38" s="60"/>
      <c r="J38" s="60"/>
      <c r="K38" s="60"/>
      <c r="L38" s="60"/>
      <c r="M38" s="53"/>
      <c r="N38" s="53"/>
    </row>
    <row r="39" spans="1:15" s="35" customFormat="1" ht="14.25" customHeight="1">
      <c r="D39" s="60"/>
      <c r="E39" s="60"/>
      <c r="F39" s="60"/>
      <c r="G39" s="60"/>
      <c r="H39" s="60"/>
      <c r="I39" s="60"/>
      <c r="J39" s="60"/>
      <c r="K39" s="60"/>
      <c r="L39" s="60"/>
    </row>
    <row r="40" spans="1:15" s="35" customFormat="1" ht="17.25" customHeight="1">
      <c r="D40" s="60"/>
      <c r="E40" s="60"/>
      <c r="F40" s="60"/>
      <c r="G40" s="60"/>
      <c r="H40" s="60"/>
      <c r="I40" s="60"/>
      <c r="J40" s="60"/>
      <c r="K40" s="60"/>
      <c r="L40" s="60"/>
    </row>
    <row r="41" spans="1:15" s="35" customFormat="1" ht="17.25" customHeight="1">
      <c r="D41" s="718"/>
      <c r="E41" s="718"/>
      <c r="F41" s="718"/>
      <c r="G41" s="718"/>
      <c r="H41" s="718"/>
      <c r="I41" s="718"/>
      <c r="J41" s="718"/>
      <c r="K41" s="718"/>
      <c r="L41" s="718"/>
      <c r="M41" s="718"/>
    </row>
    <row r="42" spans="1:15" s="35" customFormat="1" ht="32.25" customHeight="1"/>
    <row r="43" spans="1:15" s="35" customFormat="1" ht="22.5" customHeight="1">
      <c r="D43" s="713" t="s">
        <v>14</v>
      </c>
      <c r="E43" s="713"/>
      <c r="F43" s="713"/>
      <c r="G43" s="713"/>
      <c r="H43" s="713"/>
      <c r="I43" s="713"/>
      <c r="J43" s="713"/>
      <c r="K43" s="713"/>
      <c r="L43" s="713"/>
      <c r="M43" s="713"/>
      <c r="N43" s="713"/>
    </row>
    <row r="44" spans="1:15" s="35" customFormat="1" ht="9.9499999999999993" customHeight="1">
      <c r="D44" s="52"/>
      <c r="E44" s="52"/>
      <c r="F44" s="52"/>
      <c r="G44" s="52"/>
      <c r="H44" s="52"/>
      <c r="I44" s="52"/>
      <c r="J44" s="53"/>
      <c r="K44" s="53"/>
      <c r="L44" s="53"/>
      <c r="M44" s="53"/>
      <c r="N44" s="53"/>
    </row>
    <row r="45" spans="1:15" ht="15" hidden="1" customHeight="1">
      <c r="D45" s="39"/>
      <c r="E45" s="39"/>
      <c r="F45" s="39" t="s">
        <v>57</v>
      </c>
      <c r="G45" s="39"/>
      <c r="H45" s="39" t="s">
        <v>59</v>
      </c>
      <c r="I45" s="39"/>
      <c r="J45" s="39" t="s">
        <v>58</v>
      </c>
      <c r="K45" s="39"/>
      <c r="L45" s="39"/>
      <c r="M45" s="39"/>
    </row>
    <row r="46" spans="1:15" ht="30.75" customHeight="1">
      <c r="A46" s="35"/>
      <c r="B46" s="35"/>
      <c r="D46" s="118"/>
      <c r="E46" s="118"/>
      <c r="F46" s="714" t="str">
        <f>UPPER("Beteiligungen")</f>
        <v>BETEILIGUNGEN</v>
      </c>
      <c r="G46" s="714"/>
      <c r="H46" s="714" t="str">
        <f>UPPER("davon in Koordinationsrolle")</f>
        <v>DAVON IN KOORDINATIONSROLLE</v>
      </c>
      <c r="I46" s="714"/>
      <c r="J46" s="714" t="str">
        <f>UPPER("Förderung")</f>
        <v>FÖRDERUNG</v>
      </c>
      <c r="K46" s="714"/>
      <c r="L46" s="257" t="s">
        <v>13</v>
      </c>
      <c r="M46" s="560" t="str">
        <f>UPPER("Erfolgsquote der Beteiligung")</f>
        <v>ERFOLGSQUOTE DER BETEILIGUNG</v>
      </c>
    </row>
    <row r="47" spans="1:15" ht="18" customHeight="1">
      <c r="B47" s="44">
        <v>6151</v>
      </c>
      <c r="D47" s="281" t="str">
        <f ca="1">_xll.PALO.DATA("jedoxtest/EU_PM_CUBE02","#_Programme","Langbezeichnung",B47)</f>
        <v>Excellent Science</v>
      </c>
      <c r="E47" s="281"/>
      <c r="F47" s="715">
        <f ca="1">_xll.PALO.DATAC("jedoxtest/EU_PM_CUBE02","EUPM_Mittel2_Cube",AT_ExSc_Datenstand,"Alle Beteiligungen","Alle Koordinatoren","Alle Unternehmensgrößen","-2","Alle Organisationstypen",28,"Alle Expertevaluierungsstatus",$B$47,"-2",1,"-2","Alle","-2","anzahl_beteiligungen")</f>
        <v>1144</v>
      </c>
      <c r="G47" s="715"/>
      <c r="H47" s="715">
        <f ca="1">_xll.PALO.DATAC("jedoxtest/EU_PM_CUBE02","EUPM_Mittel2_Cube",AT_ExSc_Datenstand,"Alle Beteiligungen","Alle Koordinatoren","Alle Unternehmensgrößen","-2","Alle Organisationstypen",28,"Alle Expertevaluierungsstatus",$B$47,"-2",1,"-2","Alle","-2","anzahl_koordinatoren")</f>
        <v>509</v>
      </c>
      <c r="I47" s="715"/>
      <c r="J47" s="715">
        <f ca="1">_xll.PALO.DATAC("jedoxtest/EU_PM_CUBE02","EUPM_Mittel2_Cube",AT_ExSc_Datenstand,"Alle Beteiligungen","Alle Koordinatoren","Alle Unternehmensgrößen","-2","Alle Organisationstypen",28,"Alle Expertevaluierungsstatus",$B$47,"-2",1,"-2","Alle","-2","foerderung")</f>
        <v>609708694.16000104</v>
      </c>
      <c r="K47" s="715"/>
      <c r="L47" s="282">
        <f ca="1">_xll.PALO.DATAC("jedoxtest/EU_PM_CUBE02","EUPM_Mittel2_Cube",AT_ExSc_Datenstand,"Alle Beteiligungen","Alle Koordinatoren","Alle Unternehmensgrößen","-2","Alle Organisationstypen",5,"Alle Expertevaluierungsstatus",$B$47,"-2",1,"-2","Alle","-2","anzahl_beteiligungen")</f>
        <v>6064</v>
      </c>
      <c r="M47" s="573">
        <f ca="1">_xll.PALO.DATAC("jedoxtest/EU_PM_CUBE02","EUPM_Mittel2_Cube",AT_ExSc_Datenstand,"Alle Beteiligungen","Alle Koordinatoren","Alle Unternehmensgrößen","-2","Alle Organisationstypen",14,"Alle Expertevaluierungsstatus",$B47,"-2",1,"-2","Alle","-2","anzahl_beteiligungen")/_xll.PALO.DATAC("jedoxtest/EU_PM_CUBE02","EUPM_Mittel2_Cube",AT_ExSc_Datenstand,"Alle Beteiligungen","Alle Koordinatoren","Alle Unternehmensgrößen","-2","Alle Organisationstypen",5,"Alle Expertevaluierungsstatus",$B47,"-2",1,"-2","Alle","-2","anzahl_beteiligungen")</f>
        <v>0.16639182058047494</v>
      </c>
    </row>
    <row r="48" spans="1:15" s="62" customFormat="1" ht="18" customHeight="1">
      <c r="B48" s="327">
        <v>6155</v>
      </c>
      <c r="C48" s="41"/>
      <c r="D48" s="166" t="str">
        <f ca="1">_xll.PALO.DATA("jedoxtest/EU_PM_CUBE02","#_Programme","Langbezeichnung",$B48)</f>
        <v>European Research Council (ERC)</v>
      </c>
      <c r="E48" s="150"/>
      <c r="F48" s="709">
        <f ca="1">_xll.PALO.DATAC("jedoxtest/EU_PM_CUBE02","EUPM_Mittel2_Cube",AT_ExSc_Datenstand,"Alle Beteiligungen","Alle Koordinatoren","Alle Unternehmensgrößen","-2","Alle Organisationstypen",28,"Alle Expertevaluierungsstatus",$B7,"-2",1,"-2","Alle","-2",F$45)</f>
        <v>292</v>
      </c>
      <c r="G48" s="709"/>
      <c r="H48" s="709">
        <f ca="1">_xll.PALO.DATAC("jedoxtest/EU_PM_CUBE02","EUPM_Mittel2_Cube",AT_ExSc_Datenstand,"Alle Beteiligungen","Alle Koordinatoren","Alle Unternehmensgrößen","-2","Alle Organisationstypen",28,"Alle Expertevaluierungsstatus",$B7,"-2",1,"-2","Alle","-2",H$45)</f>
        <v>250</v>
      </c>
      <c r="I48" s="709"/>
      <c r="J48" s="709">
        <f ca="1">_xll.PALO.DATAC("jedoxtest/EU_PM_CUBE02","EUPM_Mittel2_Cube",AT_ExSc_Datenstand,"Alle Beteiligungen","Alle Koordinatoren","Alle Unternehmensgrößen","-2","Alle Organisationstypen",28,"Alle Expertevaluierungsstatus",$B7,"-2",1,"-2","Alle","-2",J$45)</f>
        <v>447848010.45999998</v>
      </c>
      <c r="K48" s="709"/>
      <c r="L48" s="151">
        <f ca="1">_xll.PALO.DATAC("jedoxtest/EU_PM_CUBE02","EUPM_Mittel2_Cube",AT_ExSc_Datenstand,"Alle Beteiligungen","Alle Koordinatoren","Alle Unternehmensgrößen","-2","Alle Organisationstypen",5,"Alle Expertevaluierungsstatus",$B7,"-2",1,"-2","Alle","-2","anzahl_beteiligungen")</f>
        <v>1316</v>
      </c>
      <c r="M48" s="567">
        <f ca="1">_xll.PALO.DATAC("jedoxtest/EU_PM_CUBE02","EUPM_Mittel2_Cube",AT_ExSc_Datenstand,"Alle Beteiligungen","Alle Koordinatoren","Alle Unternehmensgrößen","-2","Alle Organisationstypen",14,"Alle Expertevaluierungsstatus",$B48,"-2",1,"-2","Alle","-2","anzahl_beteiligungen")/_xll.PALO.DATAC("jedoxtest/EU_PM_CUBE02","EUPM_Mittel2_Cube",AT_ExSc_Datenstand,"Alle Beteiligungen","Alle Koordinatoren","Alle Unternehmensgrößen","-2","Alle Organisationstypen",5,"Alle Expertevaluierungsstatus",$B48,"-2",1,"-2","Alle","-2","anzahl_beteiligungen")</f>
        <v>0.16489361702127658</v>
      </c>
      <c r="N48" s="41"/>
      <c r="O48" s="41"/>
    </row>
    <row r="49" spans="1:15" s="62" customFormat="1" ht="18" customHeight="1">
      <c r="B49" s="327">
        <v>6156</v>
      </c>
      <c r="C49" s="41"/>
      <c r="D49" s="167" t="str">
        <f ca="1">_xll.PALO.DATA("jedoxtest/EU_PM_CUBE02","#_Programme","Langbezeichnung",$B49)</f>
        <v>Marie Skłodowska-Curie Actions (MSCA)</v>
      </c>
      <c r="E49" s="152"/>
      <c r="F49" s="710">
        <f ca="1">_xll.PALO.DATAC("jedoxtest/EU_PM_CUBE02","EUPM_Mittel2_Cube",AT_ExSc_Datenstand,"Alle Beteiligungen","Alle Koordinatoren","Alle Unternehmensgrößen","-2","Alle Organisationstypen",28,"Alle Expertevaluierungsstatus",$B8,"-2",1,"-2","Alle","-2",F$45)</f>
        <v>729</v>
      </c>
      <c r="G49" s="710"/>
      <c r="H49" s="710">
        <f ca="1">_xll.PALO.DATAC("jedoxtest/EU_PM_CUBE02","EUPM_Mittel2_Cube",AT_ExSc_Datenstand,"Alle Beteiligungen","Alle Koordinatoren","Alle Unternehmensgrößen","-2","Alle Organisationstypen",28,"Alle Expertevaluierungsstatus",$B8,"-2",1,"-2","Alle","-2",H$45)</f>
        <v>253</v>
      </c>
      <c r="I49" s="710"/>
      <c r="J49" s="710">
        <f ca="1">_xll.PALO.DATAC("jedoxtest/EU_PM_CUBE02","EUPM_Mittel2_Cube",AT_ExSc_Datenstand,"Alle Beteiligungen","Alle Koordinatoren","Alle Unternehmensgrößen","-2","Alle Organisationstypen",28,"Alle Expertevaluierungsstatus",$B8,"-2",1,"-2","Alle","-2",J$45)</f>
        <v>126069246</v>
      </c>
      <c r="K49" s="710"/>
      <c r="L49" s="153">
        <f ca="1">_xll.PALO.DATAC("jedoxtest/EU_PM_CUBE02","EUPM_Mittel2_Cube",AT_ExSc_Datenstand,"Alle Beteiligungen","Alle Koordinatoren","Alle Unternehmensgrößen","-2","Alle Organisationstypen",5,"Alle Expertevaluierungsstatus",$B8,"-2",1,"-2","Alle","-2","anzahl_beteiligungen")</f>
        <v>4504</v>
      </c>
      <c r="M49" s="566">
        <f ca="1">_xll.PALO.DATAC("jedoxtest/EU_PM_CUBE02","EUPM_Mittel2_Cube",AT_ExSc_Datenstand,"Alle Beteiligungen","Alle Koordinatoren","Alle Unternehmensgrößen","-2","Alle Organisationstypen",14,"Alle Expertevaluierungsstatus",$B49,"-2",1,"-2","Alle","-2","anzahl_beteiligungen")/_xll.PALO.DATAC("jedoxtest/EU_PM_CUBE02","EUPM_Mittel2_Cube",AT_ExSc_Datenstand,"Alle Beteiligungen","Alle Koordinatoren","Alle Unternehmensgrößen","-2","Alle Organisationstypen",5,"Alle Expertevaluierungsstatus",$B49,"-2",1,"-2","Alle","-2","anzahl_beteiligungen")</f>
        <v>0.15075488454706928</v>
      </c>
      <c r="N49" s="41"/>
      <c r="O49" s="41"/>
    </row>
    <row r="50" spans="1:15" s="62" customFormat="1" ht="18" customHeight="1">
      <c r="B50" s="327">
        <v>6157</v>
      </c>
      <c r="C50" s="41"/>
      <c r="D50" s="570" t="str">
        <f ca="1">_xll.PALO.DATA("jedoxtest/EU_PM_CUBE02","#_Programme","Langbezeichnung",$B50)</f>
        <v>Research infrastructures</v>
      </c>
      <c r="E50" s="571"/>
      <c r="F50" s="711">
        <f ca="1">_xll.PALO.DATAC("jedoxtest/EU_PM_CUBE02","EUPM_Mittel2_Cube",AT_ExSc_Datenstand,"Alle Beteiligungen","Alle Koordinatoren","Alle Unternehmensgrößen","-2","Alle Organisationstypen",28,"Alle Expertevaluierungsstatus",$B9,"-2",1,"-2","Alle","-2",F$45)</f>
        <v>123</v>
      </c>
      <c r="G50" s="711"/>
      <c r="H50" s="711">
        <f ca="1">_xll.PALO.DATAC("jedoxtest/EU_PM_CUBE02","EUPM_Mittel2_Cube",AT_ExSc_Datenstand,"Alle Beteiligungen","Alle Koordinatoren","Alle Unternehmensgrößen","-2","Alle Organisationstypen",28,"Alle Expertevaluierungsstatus",$B9,"-2",1,"-2","Alle","-2",H$45)</f>
        <v>6</v>
      </c>
      <c r="I50" s="711"/>
      <c r="J50" s="711">
        <f ca="1">_xll.PALO.DATAC("jedoxtest/EU_PM_CUBE02","EUPM_Mittel2_Cube",AT_ExSc_Datenstand,"Alle Beteiligungen","Alle Koordinatoren","Alle Unternehmensgrößen","-2","Alle Organisationstypen",28,"Alle Expertevaluierungsstatus",$B9,"-2",1,"-2","Alle","-2",J$45)</f>
        <v>35791437.700000003</v>
      </c>
      <c r="K50" s="711"/>
      <c r="L50" s="572">
        <f ca="1">_xll.PALO.DATAC("jedoxtest/EU_PM_CUBE02","EUPM_Mittel2_Cube",AT_ExSc_Datenstand,"Alle Beteiligungen","Alle Koordinatoren","Alle Unternehmensgrößen","-2","Alle Organisationstypen",5,"Alle Expertevaluierungsstatus",$B9,"-2",1,"-2","Alle","-2","anzahl_beteiligungen")</f>
        <v>244</v>
      </c>
      <c r="M50" s="569">
        <f ca="1">_xll.PALO.DATAC("jedoxtest/EU_PM_CUBE02","EUPM_Mittel2_Cube",AT_ExSc_Datenstand,"Alle Beteiligungen","Alle Koordinatoren","Alle Unternehmensgrößen","-2","Alle Organisationstypen",14,"Alle Expertevaluierungsstatus",$B50,"-2",1,"-2","Alle","-2","anzahl_beteiligungen")/_xll.PALO.DATAC("jedoxtest/EU_PM_CUBE02","EUPM_Mittel2_Cube",AT_ExSc_Datenstand,"Alle Beteiligungen","Alle Koordinatoren","Alle Unternehmensgrößen","-2","Alle Organisationstypen",5,"Alle Expertevaluierungsstatus",$B50,"-2",1,"-2","Alle","-2","anzahl_beteiligungen")</f>
        <v>0.46311475409836067</v>
      </c>
      <c r="N50" s="41"/>
      <c r="O50" s="41"/>
    </row>
    <row r="51" spans="1:15" s="41" customFormat="1" ht="15" customHeight="1">
      <c r="M51" s="557"/>
    </row>
    <row r="52" spans="1:15" s="41" customFormat="1" ht="15" customHeight="1">
      <c r="K52" s="705" t="str">
        <f ca="1">"Quelle: EC "&amp;_xll.PALO.DATA("jedoxtest/EU_PM_CUBE02","#_Datenstand","reference_month",AT_ExSc_Datenstand)&amp;"/"&amp;_xll.PALO.DATA("jedoxtest/EU_PM_CUBE02","#_Datenstand","reference_year",AT_ExSc_Datenstand)&amp;"; Darstellung FFG"</f>
        <v>Quelle: EC 5/2026; Darstellung FFG</v>
      </c>
      <c r="L52" s="706"/>
      <c r="M52" s="706"/>
      <c r="N52" s="706"/>
    </row>
    <row r="53" spans="1:15" s="41" customFormat="1" ht="15" hidden="1" customHeight="1">
      <c r="K53" s="705"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L53" s="705"/>
      <c r="M53" s="705"/>
      <c r="N53" s="705"/>
    </row>
    <row r="54" spans="1:15" s="35" customFormat="1" ht="15" customHeight="1"/>
    <row r="55" spans="1:15" s="35" customFormat="1"/>
    <row r="56" spans="1:15" s="35" customFormat="1"/>
    <row r="57" spans="1:15">
      <c r="M57"/>
    </row>
    <row r="58" spans="1:15" hidden="1">
      <c r="A58" s="61" t="b">
        <f ca="1">_xll.PALO.HIDEROW(ISBLANK($A$1))</f>
        <v>1</v>
      </c>
      <c r="D58" s="61" t="s">
        <v>11</v>
      </c>
      <c r="E58" s="61" t="str">
        <f ca="1">_xll.PALO.ENAME("jedoxtest/EU_PM_CUBE02","Datenstand",3)</f>
        <v>117</v>
      </c>
    </row>
  </sheetData>
  <mergeCells count="28">
    <mergeCell ref="K53:N53"/>
    <mergeCell ref="K52:N52"/>
    <mergeCell ref="D29:N29"/>
    <mergeCell ref="H4:J4"/>
    <mergeCell ref="K4:M4"/>
    <mergeCell ref="E4:G4"/>
    <mergeCell ref="H5:J5"/>
    <mergeCell ref="K5:M5"/>
    <mergeCell ref="E5:G5"/>
    <mergeCell ref="H47:I47"/>
    <mergeCell ref="J47:K47"/>
    <mergeCell ref="D41:M41"/>
    <mergeCell ref="D27:M27"/>
    <mergeCell ref="F48:G48"/>
    <mergeCell ref="F49:G49"/>
    <mergeCell ref="F50:G50"/>
    <mergeCell ref="D2:N2"/>
    <mergeCell ref="D43:N43"/>
    <mergeCell ref="F46:G46"/>
    <mergeCell ref="F47:G47"/>
    <mergeCell ref="H46:I46"/>
    <mergeCell ref="J46:K46"/>
    <mergeCell ref="J48:K48"/>
    <mergeCell ref="J49:K49"/>
    <mergeCell ref="J50:K50"/>
    <mergeCell ref="H48:I48"/>
    <mergeCell ref="H49:I49"/>
    <mergeCell ref="H50:I50"/>
  </mergeCells>
  <conditionalFormatting sqref="D48:D50">
    <cfRule type="expression" dxfId="113" priority="7">
      <formula>E48=5</formula>
    </cfRule>
  </conditionalFormatting>
  <conditionalFormatting sqref="D47:E47">
    <cfRule type="expression" dxfId="112" priority="5">
      <formula>E47=5</formula>
    </cfRule>
  </conditionalFormatting>
  <conditionalFormatting sqref="D48:F50 H48:H50 J48:J50 L48:L50">
    <cfRule type="expression" dxfId="111" priority="8">
      <formula>$E48=4</formula>
    </cfRule>
  </conditionalFormatting>
  <conditionalFormatting sqref="D47:L47">
    <cfRule type="expression" dxfId="110" priority="6">
      <formula>$E47=4</formula>
    </cfRule>
  </conditionalFormatting>
  <conditionalFormatting sqref="M47:M50">
    <cfRule type="expression" dxfId="109" priority="1">
      <formula>$E47=4</formula>
    </cfRule>
  </conditionalFormatting>
  <pageMargins left="0.70866141732283472" right="0.70866141732283472" top="0.74803149606299213" bottom="0.74803149606299213" header="0.31496062992125984" footer="0.31496062992125984"/>
  <pageSetup paperSize="9" scale="69" orientation="portrait" r:id="rId1"/>
  <headerFooter>
    <oddHeader>&amp;R&amp;G</oddHeader>
    <oddFooter>&amp;L&amp;7&amp;KA6A6A6Österreichische Forschungsförderungsgesellschaft mbH
Sensengasse 1, A-1090 Wien&amp;C&amp;7&amp;KA6A6A6EU-PM
&amp;D&amp;R&amp;7&amp;KA6A6A6Seite &amp;P von &amp;N</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H362"/>
  <sheetViews>
    <sheetView zoomScale="80" zoomScaleNormal="80" workbookViewId="0">
      <selection activeCell="M91" sqref="M91"/>
    </sheetView>
  </sheetViews>
  <sheetFormatPr baseColWidth="10" defaultColWidth="10.85546875" defaultRowHeight="15"/>
  <cols>
    <col min="1" max="2" width="10.85546875" style="617"/>
    <col min="3" max="3" width="9.85546875" style="617" hidden="1" customWidth="1"/>
    <col min="4" max="4" width="38.5703125" style="617" customWidth="1"/>
    <col min="5" max="7" width="18.7109375" style="617" customWidth="1"/>
    <col min="8" max="10" width="10.85546875" style="617"/>
    <col min="11" max="16" width="1.7109375" style="617" customWidth="1"/>
    <col min="17" max="17" width="10.85546875" style="617"/>
    <col min="18" max="18" width="5.85546875" style="618" customWidth="1"/>
    <col min="19" max="19" width="14.5703125" style="617" bestFit="1" customWidth="1"/>
    <col min="20" max="20" width="41.7109375" style="618" customWidth="1"/>
    <col min="21" max="23" width="11.5703125" style="618" bestFit="1" customWidth="1"/>
    <col min="24" max="24" width="10.85546875" style="618"/>
    <col min="25" max="16384" width="10.85546875" style="617"/>
  </cols>
  <sheetData>
    <row r="1" spans="1:26">
      <c r="A1" s="630"/>
      <c r="C1" s="614" t="b">
        <f ca="1">_xll.PALO.HIDECOLUMN(ISBLANK($A$1))</f>
        <v>1</v>
      </c>
    </row>
    <row r="2" spans="1:26" ht="21">
      <c r="D2" s="719" t="s">
        <v>332</v>
      </c>
      <c r="E2" s="719"/>
      <c r="F2" s="719"/>
      <c r="G2" s="719"/>
    </row>
    <row r="3" spans="1:26" ht="108.75" customHeight="1">
      <c r="D3" s="720" t="s">
        <v>356</v>
      </c>
      <c r="E3" s="720"/>
      <c r="F3" s="720"/>
      <c r="G3" s="720"/>
      <c r="R3" s="617"/>
      <c r="T3" s="617"/>
      <c r="U3" s="617"/>
      <c r="V3" s="617"/>
      <c r="W3" s="617"/>
    </row>
    <row r="4" spans="1:26" s="618" customFormat="1" ht="15" customHeight="1">
      <c r="C4" s="617"/>
      <c r="D4" s="617"/>
      <c r="E4" s="617"/>
      <c r="F4" s="617"/>
      <c r="G4" s="617"/>
      <c r="H4" s="617"/>
      <c r="I4" s="617"/>
      <c r="J4" s="617"/>
      <c r="K4" s="617"/>
      <c r="L4" s="617"/>
      <c r="M4" s="617"/>
      <c r="N4" s="617"/>
      <c r="O4" s="617"/>
      <c r="P4" s="617"/>
      <c r="Q4" s="617"/>
      <c r="R4" s="617"/>
      <c r="S4" s="61">
        <v>6155</v>
      </c>
      <c r="T4" s="617"/>
      <c r="U4" s="617"/>
      <c r="V4" s="617"/>
    </row>
    <row r="5" spans="1:26" s="618" customFormat="1" ht="15" hidden="1" customHeight="1">
      <c r="A5" s="617" t="b">
        <f ca="1">_xll.PALO.HIDEROW(ISBLANK($A$1))</f>
        <v>1</v>
      </c>
      <c r="C5" s="630"/>
      <c r="D5" s="646"/>
      <c r="E5" s="628" t="s">
        <v>17</v>
      </c>
      <c r="F5" s="628" t="s">
        <v>16</v>
      </c>
      <c r="G5" s="628" t="s">
        <v>15</v>
      </c>
      <c r="H5" s="617"/>
      <c r="I5" s="617"/>
      <c r="J5" s="617"/>
      <c r="K5" s="617"/>
      <c r="L5" s="617"/>
      <c r="M5" s="617"/>
      <c r="N5" s="617"/>
      <c r="O5" s="617"/>
      <c r="P5" s="617"/>
      <c r="Q5" s="617"/>
      <c r="R5" s="617"/>
      <c r="S5" s="61">
        <v>6156</v>
      </c>
      <c r="T5" s="617"/>
      <c r="U5" s="617"/>
      <c r="V5" s="617"/>
    </row>
    <row r="6" spans="1:26" s="618" customFormat="1" ht="15" hidden="1" customHeight="1">
      <c r="A6" s="617" t="b">
        <f ca="1">_xll.PALO.HIDEROW(ISBLANK($A$1))</f>
        <v>1</v>
      </c>
      <c r="C6" s="475">
        <v>6151</v>
      </c>
      <c r="D6" s="623" t="str">
        <f ca="1">_xll.PALO.DATA("jedoxtest/EU_PM_CUBE02","#_Programme","Langbezeichnung",$C6)</f>
        <v>Excellent Science</v>
      </c>
      <c r="E6" s="647">
        <f ca="1">_xll.PALO.DATAC("jedoxtest/EU_PM_CUBE02","EUPM_Mittel2_Cube",AT_ExSc_Datenstand,"Alle Beteiligungen","Alle Koordinatoren","Alle Unternehmensgrößen","-2","Alle Organisationstypen",28,"Alle Expertevaluierungsstatus",$C6,"-2",1,"-2","Alle","-2",E$8)</f>
        <v>1144</v>
      </c>
      <c r="F6" s="647">
        <f ca="1">_xll.PALO.DATAC("jedoxtest/EU_PM_CUBE02","EUPM_Mittel2_Cube",AT_ExSc_Datenstand,"Alle Beteiligungen","Alle Koordinatoren","Alle Unternehmensgrößen","-2","Alle Organisationstypen",28,"Alle Expertevaluierungsstatus",$C6,"-2",1,"-2","Alle","-2",F$8)</f>
        <v>609708694.16000104</v>
      </c>
      <c r="G6" s="647">
        <f ca="1">_xll.PALO.DATAC("jedoxtest/EU_PM_CUBE02","EUPM_Mittel2_Cube",AT_ExSc_Datenstand,"Alle Beteiligungen","Alle Koordinatoren","Alle Unternehmensgrößen","-2","Alle Organisationstypen",28,"Alle Expertevaluierungsstatus",$C6,"-2",1,"-2","Alle","-2",G$8)</f>
        <v>509</v>
      </c>
      <c r="H6" s="617"/>
      <c r="I6" s="617"/>
      <c r="J6" s="617"/>
      <c r="K6" s="617"/>
      <c r="L6" s="617"/>
      <c r="M6" s="617"/>
      <c r="N6" s="617"/>
      <c r="O6" s="617"/>
      <c r="P6" s="617"/>
      <c r="Q6" s="617"/>
      <c r="R6" s="617"/>
      <c r="S6" s="61">
        <v>6157</v>
      </c>
      <c r="T6" s="617"/>
      <c r="U6" s="617"/>
      <c r="V6" s="617"/>
    </row>
    <row r="7" spans="1:26" s="618" customFormat="1" ht="15" hidden="1" customHeight="1">
      <c r="A7" s="617" t="b">
        <f ca="1">_xll.PALO.HIDEROW(ISBLANK($A$1))</f>
        <v>1</v>
      </c>
      <c r="C7" s="630"/>
      <c r="D7" s="630"/>
      <c r="E7" s="630"/>
      <c r="F7" s="630"/>
      <c r="G7" s="630"/>
      <c r="H7" s="617"/>
      <c r="I7" s="617"/>
      <c r="J7" s="617"/>
      <c r="K7" s="617"/>
      <c r="L7" s="617"/>
      <c r="M7" s="617"/>
      <c r="N7" s="617"/>
      <c r="O7" s="617"/>
      <c r="P7" s="617"/>
      <c r="Q7" s="617"/>
      <c r="R7" s="617"/>
      <c r="S7" s="475">
        <v>6151</v>
      </c>
      <c r="T7" s="617"/>
      <c r="U7" s="617"/>
      <c r="V7" s="617"/>
    </row>
    <row r="8" spans="1:26" s="618" customFormat="1" ht="15" hidden="1" customHeight="1">
      <c r="A8" s="617" t="b">
        <f ca="1">_xll.PALO.HIDEROW(ISBLANK($A$1))</f>
        <v>1</v>
      </c>
      <c r="C8" s="630"/>
      <c r="D8" s="630"/>
      <c r="E8" s="618" t="s">
        <v>57</v>
      </c>
      <c r="F8" s="618" t="s">
        <v>58</v>
      </c>
      <c r="G8" s="618" t="s">
        <v>59</v>
      </c>
      <c r="H8" s="617"/>
      <c r="I8" s="617"/>
      <c r="J8" s="617"/>
      <c r="K8" s="617"/>
      <c r="L8" s="617"/>
      <c r="M8" s="617"/>
      <c r="N8" s="617"/>
      <c r="O8" s="617"/>
      <c r="P8" s="617"/>
      <c r="Q8" s="617"/>
      <c r="R8" s="617"/>
      <c r="S8" s="617"/>
      <c r="T8" s="617"/>
      <c r="U8" s="617"/>
      <c r="V8" s="617"/>
      <c r="W8" s="617"/>
    </row>
    <row r="9" spans="1:26" s="618" customFormat="1" ht="15" customHeight="1">
      <c r="C9" s="630"/>
      <c r="D9" s="630"/>
      <c r="H9" s="617"/>
      <c r="I9" s="617"/>
      <c r="J9" s="617"/>
      <c r="K9" s="617"/>
      <c r="L9" s="617"/>
      <c r="M9" s="617"/>
      <c r="N9" s="617"/>
      <c r="O9" s="617"/>
      <c r="P9" s="617"/>
      <c r="Q9" s="617"/>
      <c r="R9" s="617"/>
      <c r="S9" s="617"/>
      <c r="T9" s="617"/>
      <c r="U9" s="617"/>
      <c r="V9" s="617"/>
      <c r="W9" s="617"/>
    </row>
    <row r="10" spans="1:26" s="618" customFormat="1" ht="15" customHeight="1">
      <c r="C10" s="630"/>
      <c r="D10" s="646"/>
      <c r="E10" s="628" t="s">
        <v>1</v>
      </c>
      <c r="F10" s="628" t="s">
        <v>109</v>
      </c>
      <c r="G10" s="628" t="s">
        <v>3</v>
      </c>
      <c r="H10" s="617"/>
      <c r="I10" s="617"/>
      <c r="J10" s="617"/>
      <c r="K10" s="617"/>
      <c r="L10" s="617"/>
      <c r="M10" s="617"/>
      <c r="N10" s="617"/>
      <c r="O10" s="617"/>
      <c r="P10" s="617"/>
      <c r="Q10" s="617"/>
      <c r="R10" s="617"/>
      <c r="S10" s="602" t="s">
        <v>315</v>
      </c>
      <c r="T10" s="617"/>
      <c r="U10" s="617"/>
      <c r="V10" s="617"/>
      <c r="W10" s="617"/>
    </row>
    <row r="11" spans="1:26" s="618" customFormat="1" ht="15" customHeight="1">
      <c r="C11" s="61">
        <v>6155</v>
      </c>
      <c r="D11" s="641" t="str">
        <f ca="1">_xll.PALO.DATA("jedoxtest/EU_PM_CUBE02","#_Programme","Langbezeichnung",$C11)</f>
        <v>European Research Council (ERC)</v>
      </c>
      <c r="E11" s="640">
        <f ca="1">_xll.PALO.DATAC("jedoxtest/EU_PM_CUBE02","EUPM_Mittel2_Cube",AT_ExSc_Datenstand,"Alle Beteiligungen","Alle Koordinatoren","Alle Unternehmensgrößen","-2","Alle Organisationstypen",28,"Alle Expertevaluierungsstatus",$C11,"-2",1,"-2","Alle","-2",E$8)</f>
        <v>292</v>
      </c>
      <c r="F11" s="640">
        <f ca="1">_xll.PALO.DATAC("jedoxtest/EU_PM_CUBE02","EUPM_Mittel2_Cube",AT_ExSc_Datenstand,"Alle Beteiligungen","Alle Koordinatoren","Alle Unternehmensgrößen","-2","Alle Organisationstypen",28,"Alle Expertevaluierungsstatus",$C11,"-2",1,"-2","Alle","-2",F$8)</f>
        <v>447848010.45999998</v>
      </c>
      <c r="G11" s="640">
        <f ca="1">_xll.PALO.DATAC("jedoxtest/EU_PM_CUBE02","EUPM_Mittel2_Cube",AT_ExSc_Datenstand,"Alle Beteiligungen","Alle Koordinatoren","Alle Unternehmensgrößen","-2","Alle Organisationstypen",28,"Alle Expertevaluierungsstatus",$C11,"-2",1,"-2","Alle","-2",G$8)</f>
        <v>250</v>
      </c>
      <c r="H11" s="617"/>
      <c r="I11" s="645">
        <f ca="1">E13+E20+E27+E33</f>
        <v>292</v>
      </c>
      <c r="J11" s="617" t="b">
        <f ca="1">I11=E11</f>
        <v>1</v>
      </c>
      <c r="K11" s="617"/>
      <c r="L11" s="617"/>
      <c r="M11" s="617"/>
      <c r="N11" s="617"/>
      <c r="O11" s="617"/>
      <c r="P11" s="617"/>
      <c r="Q11" s="617"/>
      <c r="R11" s="617"/>
      <c r="S11" s="617"/>
      <c r="T11" s="617"/>
      <c r="U11" s="617"/>
      <c r="V11" s="617"/>
      <c r="W11" s="617"/>
    </row>
    <row r="12" spans="1:26" ht="15" hidden="1" customHeight="1">
      <c r="A12" s="617" t="b">
        <f ca="1">_xll.PALO.HIDEROW(ISBLANK($A$1))</f>
        <v>1</v>
      </c>
      <c r="C12" s="630"/>
      <c r="D12" s="644"/>
      <c r="E12" s="644"/>
      <c r="F12" s="644"/>
      <c r="G12" s="644"/>
    </row>
    <row r="13" spans="1:26" s="618" customFormat="1" ht="15" customHeight="1">
      <c r="D13" s="638" t="str">
        <f t="shared" ref="D13:D18" si="0">T13</f>
        <v>ERC Starting Grant</v>
      </c>
      <c r="E13" s="637">
        <f ca="1">SUM(E14:E18)</f>
        <v>116</v>
      </c>
      <c r="F13" s="637">
        <f ca="1">SUM(F14:F18)</f>
        <v>159782649.07999998</v>
      </c>
      <c r="G13" s="637">
        <f ca="1">SUM(G14:G18)</f>
        <v>102</v>
      </c>
      <c r="H13" s="617"/>
      <c r="I13" s="617"/>
      <c r="J13" s="617"/>
      <c r="K13" s="617"/>
      <c r="L13" s="617"/>
      <c r="M13" s="617"/>
      <c r="N13" s="617"/>
      <c r="O13" s="617"/>
      <c r="P13" s="617"/>
      <c r="Q13" s="617"/>
      <c r="S13" s="617"/>
      <c r="T13" s="619" t="s">
        <v>303</v>
      </c>
      <c r="U13" s="618" t="s">
        <v>298</v>
      </c>
    </row>
    <row r="14" spans="1:26" s="618" customFormat="1" ht="15" hidden="1" customHeight="1">
      <c r="A14" s="617" t="b">
        <f ca="1">_xll.PALO.HIDEROW(ISBLANK($A$1))</f>
        <v>1</v>
      </c>
      <c r="D14" s="636" t="str">
        <f t="shared" ca="1" si="0"/>
        <v>ERC-2021-STG</v>
      </c>
      <c r="E14" s="635">
        <f ca="1">_xll.PALO.DATAC("jedoxtest/EU_PM_CUBE02","EUPM_Mittel2_Cube",AT_ExSc_Datenstand,"Alle Beteiligungen","Alle Koordinatoren","Alle Unternehmensgrößen","-2","Alle Organisationstypen",28,"Alle Expertevaluierungsstatus","-2","-2",1,"-2","Alle",$S14,E$8)</f>
        <v>18</v>
      </c>
      <c r="F14" s="635">
        <f ca="1">_xll.PALO.DATAC("jedoxtest/EU_PM_CUBE02","EUPM_Mittel2_Cube",AT_ExSc_Datenstand,"Alle Beteiligungen","Alle Koordinatoren","Alle Unternehmensgrößen","-2","Alle Organisationstypen",28,"Alle Expertevaluierungsstatus","-2","-2",1,"-2","Alle",$S14,F$8)</f>
        <v>19402848.780000001</v>
      </c>
      <c r="G14" s="635">
        <f ca="1">_xll.PALO.DATAC("jedoxtest/EU_PM_CUBE02","EUPM_Mittel2_Cube",AT_ExSc_Datenstand,"Alle Beteiligungen","Alle Koordinatoren","Alle Unternehmensgrößen","-2","Alle Organisationstypen",28,"Alle Expertevaluierungsstatus","-2","-2",1,"-2","Alle",$S14,G$8)</f>
        <v>13</v>
      </c>
      <c r="S14" s="617">
        <v>2547</v>
      </c>
      <c r="T14" s="619" t="str">
        <f ca="1">_xll.PALO.DATA("jedoxtest/EU_PM_CUBE02","#_Call","Bezeichnung",$S14)</f>
        <v>ERC-2021-STG</v>
      </c>
      <c r="U14" s="618">
        <f ca="1">LEN(T14)</f>
        <v>12</v>
      </c>
      <c r="Y14"/>
      <c r="Z14" s="619" t="str">
        <f ca="1">_xll.PALO.DATA("jedoxtest/EU_PM_CUBE02","#_Call","Bezeichnung",$Y14)</f>
        <v/>
      </c>
    </row>
    <row r="15" spans="1:26" s="618" customFormat="1" ht="15" hidden="1" customHeight="1">
      <c r="A15" s="617" t="b">
        <f ca="1">_xll.PALO.HIDEROW(ISBLANK($A$1))</f>
        <v>1</v>
      </c>
      <c r="D15" s="636" t="str">
        <f t="shared" ca="1" si="0"/>
        <v>ERC-2022-STG</v>
      </c>
      <c r="E15" s="635">
        <f ca="1">_xll.PALO.DATAC("jedoxtest/EU_PM_CUBE02","EUPM_Mittel2_Cube",AT_ExSc_Datenstand,"Alle Beteiligungen","Alle Koordinatoren","Alle Unternehmensgrößen","-2","Alle Organisationstypen",28,"Alle Expertevaluierungsstatus","-2","-2",1,"-2","Alle",$S15,E$8)</f>
        <v>23</v>
      </c>
      <c r="F15" s="635">
        <f ca="1">_xll.PALO.DATAC("jedoxtest/EU_PM_CUBE02","EUPM_Mittel2_Cube",AT_ExSc_Datenstand,"Alle Beteiligungen","Alle Koordinatoren","Alle Unternehmensgrößen","-2","Alle Organisationstypen",28,"Alle Expertevaluierungsstatus","-2","-2",1,"-2","Alle",$S15,F$8)</f>
        <v>32862570.050000001</v>
      </c>
      <c r="G15" s="635">
        <f ca="1">_xll.PALO.DATAC("jedoxtest/EU_PM_CUBE02","EUPM_Mittel2_Cube",AT_ExSc_Datenstand,"Alle Beteiligungen","Alle Koordinatoren","Alle Unternehmensgrößen","-2","Alle Organisationstypen",28,"Alle Expertevaluierungsstatus","-2","-2",1,"-2","Alle",$S15,G$8)</f>
        <v>20</v>
      </c>
      <c r="S15" s="617">
        <v>2820</v>
      </c>
      <c r="T15" s="619" t="str">
        <f ca="1">_xll.PALO.DATA("jedoxtest/EU_PM_CUBE02","#_Call","Bezeichnung",$S15)</f>
        <v>ERC-2022-STG</v>
      </c>
      <c r="U15" s="618">
        <f ca="1">LEN(T15)</f>
        <v>12</v>
      </c>
      <c r="Y15"/>
      <c r="Z15" s="619" t="str">
        <f ca="1">_xll.PALO.DATA("jedoxtest/EU_PM_CUBE02","#_Call","Bezeichnung",$Y15)</f>
        <v/>
      </c>
    </row>
    <row r="16" spans="1:26" s="618" customFormat="1" ht="15" hidden="1" customHeight="1">
      <c r="A16" s="617" t="b">
        <f ca="1">_xll.PALO.HIDEROW(ISBLANK($A$1))</f>
        <v>1</v>
      </c>
      <c r="D16" s="636" t="str">
        <f t="shared" ca="1" si="0"/>
        <v>ERC-2023-STG</v>
      </c>
      <c r="E16" s="635">
        <f ca="1">_xll.PALO.DATAC("jedoxtest/EU_PM_CUBE02","EUPM_Mittel2_Cube",AT_ExSc_Datenstand,"Alle Beteiligungen","Alle Koordinatoren","Alle Unternehmensgrößen","-2","Alle Organisationstypen",28,"Alle Expertevaluierungsstatus","-2","-2",1,"-2","Alle",$S16,E$8)</f>
        <v>25</v>
      </c>
      <c r="F16" s="635">
        <f ca="1">_xll.PALO.DATAC("jedoxtest/EU_PM_CUBE02","EUPM_Mittel2_Cube",AT_ExSc_Datenstand,"Alle Beteiligungen","Alle Koordinatoren","Alle Unternehmensgrößen","-2","Alle Organisationstypen",28,"Alle Expertevaluierungsstatus","-2","-2",1,"-2","Alle",$S16,F$8)</f>
        <v>33110720.75</v>
      </c>
      <c r="G16" s="635">
        <f ca="1">_xll.PALO.DATAC("jedoxtest/EU_PM_CUBE02","EUPM_Mittel2_Cube",AT_ExSc_Datenstand,"Alle Beteiligungen","Alle Koordinatoren","Alle Unternehmensgrößen","-2","Alle Organisationstypen",28,"Alle Expertevaluierungsstatus","-2","-2",1,"-2","Alle",$S16,G$8)</f>
        <v>22</v>
      </c>
      <c r="S16" s="617">
        <v>2900</v>
      </c>
      <c r="T16" s="619" t="str">
        <f ca="1">_xll.PALO.DATA("jedoxtest/EU_PM_CUBE02","#_Call","Bezeichnung",$S16)</f>
        <v>ERC-2023-STG</v>
      </c>
      <c r="U16" s="618">
        <f ca="1">LEN(T16)</f>
        <v>12</v>
      </c>
      <c r="Y16"/>
      <c r="Z16" s="619" t="str">
        <f ca="1">_xll.PALO.DATA("jedoxtest/EU_PM_CUBE02","#_Call","Bezeichnung",$Y16)</f>
        <v/>
      </c>
    </row>
    <row r="17" spans="1:26" s="618" customFormat="1" ht="15" hidden="1" customHeight="1">
      <c r="A17" s="617" t="b">
        <f ca="1">_xll.PALO.HIDEROW(ISBLANK($A$1))</f>
        <v>1</v>
      </c>
      <c r="D17" s="636" t="str">
        <f t="shared" ca="1" si="0"/>
        <v>ERC-2024-STG</v>
      </c>
      <c r="E17" s="635">
        <f ca="1">_xll.PALO.DATAC("jedoxtest/EU_PM_CUBE02","EUPM_Mittel2_Cube",AT_ExSc_Datenstand,"Alle Beteiligungen","Alle Koordinatoren","Alle Unternehmensgrößen","-2","Alle Organisationstypen",28,"Alle Expertevaluierungsstatus","-2","-2",1,"-2","Alle",$S17,E$8)</f>
        <v>25</v>
      </c>
      <c r="F17" s="635">
        <f ca="1">_xll.PALO.DATAC("jedoxtest/EU_PM_CUBE02","EUPM_Mittel2_Cube",AT_ExSc_Datenstand,"Alle Beteiligungen","Alle Koordinatoren","Alle Unternehmensgrößen","-2","Alle Organisationstypen",28,"Alle Expertevaluierungsstatus","-2","-2",1,"-2","Alle",$S17,F$8)</f>
        <v>37819256.5</v>
      </c>
      <c r="G17" s="635">
        <f ca="1">_xll.PALO.DATAC("jedoxtest/EU_PM_CUBE02","EUPM_Mittel2_Cube",AT_ExSc_Datenstand,"Alle Beteiligungen","Alle Koordinatoren","Alle Unternehmensgrößen","-2","Alle Organisationstypen",28,"Alle Expertevaluierungsstatus","-2","-2",1,"-2","Alle",$S17,G$8)</f>
        <v>24</v>
      </c>
      <c r="S17" s="680">
        <v>3174</v>
      </c>
      <c r="T17" s="619" t="str">
        <f ca="1">_xll.PALO.DATA("jedoxtest/EU_PM_CUBE02","#_Call","Bezeichnung",$S17)</f>
        <v>ERC-2024-STG</v>
      </c>
      <c r="U17" s="618">
        <f ca="1">LEN(T17)</f>
        <v>12</v>
      </c>
      <c r="Y17"/>
      <c r="Z17" s="619" t="str">
        <f ca="1">_xll.PALO.DATA("jedoxtest/EU_PM_CUBE02","#_Call","Bezeichnung",$Y17)</f>
        <v/>
      </c>
    </row>
    <row r="18" spans="1:26" s="618" customFormat="1" ht="15" hidden="1" customHeight="1">
      <c r="A18" s="617" t="b">
        <f ca="1">_xll.PALO.HIDEROW(ISBLANK($A$1))</f>
        <v>1</v>
      </c>
      <c r="D18" s="636" t="str">
        <f t="shared" ca="1" si="0"/>
        <v>ERC-2025-STG</v>
      </c>
      <c r="E18" s="635">
        <f ca="1">_xll.PALO.DATAC("jedoxtest/EU_PM_CUBE02","EUPM_Mittel2_Cube",AT_ExSc_Datenstand,"Alle Beteiligungen","Alle Koordinatoren","Alle Unternehmensgrößen","-2","Alle Organisationstypen",28,"Alle Expertevaluierungsstatus","-2","-2",1,"-2","Alle",$S18,E$8)</f>
        <v>25</v>
      </c>
      <c r="F18" s="635">
        <f ca="1">_xll.PALO.DATAC("jedoxtest/EU_PM_CUBE02","EUPM_Mittel2_Cube",AT_ExSc_Datenstand,"Alle Beteiligungen","Alle Koordinatoren","Alle Unternehmensgrößen","-2","Alle Organisationstypen",28,"Alle Expertevaluierungsstatus","-2","-2",1,"-2","Alle",$S18,F$8)</f>
        <v>36587253</v>
      </c>
      <c r="G18" s="635">
        <f ca="1">_xll.PALO.DATAC("jedoxtest/EU_PM_CUBE02","EUPM_Mittel2_Cube",AT_ExSc_Datenstand,"Alle Beteiligungen","Alle Koordinatoren","Alle Unternehmensgrößen","-2","Alle Organisationstypen",28,"Alle Expertevaluierungsstatus","-2","-2",1,"-2","Alle",$S18,G$8)</f>
        <v>23</v>
      </c>
      <c r="S18" s="690">
        <v>5251</v>
      </c>
      <c r="T18" s="619" t="str">
        <f ca="1">_xll.PALO.DATA("jedoxtest/EU_PM_CUBE02","#_Call","Bezeichnung",$S18)</f>
        <v>ERC-2025-STG</v>
      </c>
      <c r="U18" s="618">
        <f ca="1">LEN(T18)</f>
        <v>12</v>
      </c>
      <c r="Y18"/>
      <c r="Z18" s="619"/>
    </row>
    <row r="19" spans="1:26" s="618" customFormat="1" ht="15" hidden="1" customHeight="1">
      <c r="A19" s="617" t="b">
        <f ca="1">_xll.PALO.HIDEROW(ISBLANK($A$1))</f>
        <v>1</v>
      </c>
      <c r="D19" s="638"/>
      <c r="E19" s="633"/>
      <c r="F19" s="633"/>
      <c r="G19" s="633"/>
      <c r="S19" s="617"/>
      <c r="T19" s="619"/>
      <c r="Y19"/>
      <c r="Z19" s="619" t="str">
        <f ca="1">_xll.PALO.DATA("jedoxtest/EU_PM_CUBE02","#_Call","Bezeichnung",$Y19)</f>
        <v/>
      </c>
    </row>
    <row r="20" spans="1:26" s="618" customFormat="1" ht="15" customHeight="1">
      <c r="D20" s="638" t="str">
        <f t="shared" ref="D20:D25" si="1">T20</f>
        <v>ERC Consolidator Grant</v>
      </c>
      <c r="E20" s="637">
        <f ca="1">SUM(E21:E25)</f>
        <v>73</v>
      </c>
      <c r="F20" s="637">
        <f ca="1">SUM(F21:F25)</f>
        <v>132694788.20999999</v>
      </c>
      <c r="G20" s="637">
        <f ca="1">SUM(G21:G25)</f>
        <v>65</v>
      </c>
      <c r="S20" s="617"/>
      <c r="T20" s="619" t="s">
        <v>304</v>
      </c>
      <c r="Y20"/>
    </row>
    <row r="21" spans="1:26" s="618" customFormat="1" hidden="1">
      <c r="A21" s="617" t="b">
        <f ca="1">_xll.PALO.HIDEROW(ISBLANK($A$1))</f>
        <v>1</v>
      </c>
      <c r="D21" s="636" t="str">
        <f t="shared" ca="1" si="1"/>
        <v>ERC-2021-COG</v>
      </c>
      <c r="E21" s="635">
        <f ca="1">_xll.PALO.DATAC("jedoxtest/EU_PM_CUBE02","EUPM_Mittel2_Cube",AT_ExSc_Datenstand,"Alle Beteiligungen","Alle Koordinatoren","Alle Unternehmensgrößen","-2","Alle Organisationstypen",28,"Alle Expertevaluierungsstatus","-2","-2",1,"-2","Alle",$S21,E$8)</f>
        <v>17</v>
      </c>
      <c r="F21" s="635">
        <f ca="1">_xll.PALO.DATAC("jedoxtest/EU_PM_CUBE02","EUPM_Mittel2_Cube",AT_ExSc_Datenstand,"Alle Beteiligungen","Alle Koordinatoren","Alle Unternehmensgrößen","-2","Alle Organisationstypen",28,"Alle Expertevaluierungsstatus","-2","-2",1,"-2","Alle",$S21,F$8)</f>
        <v>25669194.609999999</v>
      </c>
      <c r="G21" s="635">
        <f ca="1">_xll.PALO.DATAC("jedoxtest/EU_PM_CUBE02","EUPM_Mittel2_Cube",AT_ExSc_Datenstand,"Alle Beteiligungen","Alle Koordinatoren","Alle Unternehmensgrößen","-2","Alle Organisationstypen",28,"Alle Expertevaluierungsstatus","-2","-2",1,"-2","Alle",$S21,G$8)</f>
        <v>12</v>
      </c>
      <c r="S21" s="643">
        <v>2627</v>
      </c>
      <c r="T21" s="619" t="str">
        <f ca="1">_xll.PALO.DATA("jedoxtest/EU_PM_CUBE02","#_Call","Bezeichnung",$S21)</f>
        <v>ERC-2021-COG</v>
      </c>
      <c r="U21" s="618">
        <f ca="1">LEN(T21)</f>
        <v>12</v>
      </c>
    </row>
    <row r="22" spans="1:26" s="618" customFormat="1" hidden="1">
      <c r="A22" s="617" t="b">
        <f ca="1">_xll.PALO.HIDEROW(ISBLANK($A$1))</f>
        <v>1</v>
      </c>
      <c r="D22" s="636" t="str">
        <f t="shared" ca="1" si="1"/>
        <v>ERC-2022-COG</v>
      </c>
      <c r="E22" s="635">
        <f ca="1">_xll.PALO.DATAC("jedoxtest/EU_PM_CUBE02","EUPM_Mittel2_Cube",AT_ExSc_Datenstand,"Alle Beteiligungen","Alle Koordinatoren","Alle Unternehmensgrößen","-2","Alle Organisationstypen",28,"Alle Expertevaluierungsstatus","-2","-2",1,"-2","Alle",$S22,E$8)</f>
        <v>15</v>
      </c>
      <c r="F22" s="635">
        <f ca="1">_xll.PALO.DATAC("jedoxtest/EU_PM_CUBE02","EUPM_Mittel2_Cube",AT_ExSc_Datenstand,"Alle Beteiligungen","Alle Koordinatoren","Alle Unternehmensgrößen","-2","Alle Organisationstypen",28,"Alle Expertevaluierungsstatus","-2","-2",1,"-2","Alle",$S22,F$8)</f>
        <v>28908690.469999999</v>
      </c>
      <c r="G22" s="635">
        <f ca="1">_xll.PALO.DATAC("jedoxtest/EU_PM_CUBE02","EUPM_Mittel2_Cube",AT_ExSc_Datenstand,"Alle Beteiligungen","Alle Koordinatoren","Alle Unternehmensgrößen","-2","Alle Organisationstypen",28,"Alle Expertevaluierungsstatus","-2","-2",1,"-2","Alle",$S22,G$8)</f>
        <v>14</v>
      </c>
      <c r="S22" s="643">
        <v>2818</v>
      </c>
      <c r="T22" s="619" t="str">
        <f ca="1">_xll.PALO.DATA("jedoxtest/EU_PM_CUBE02","#_Call","Bezeichnung",$S22)</f>
        <v>ERC-2022-COG</v>
      </c>
      <c r="U22" s="618">
        <f ca="1">LEN(T22)</f>
        <v>12</v>
      </c>
    </row>
    <row r="23" spans="1:26" s="618" customFormat="1" hidden="1">
      <c r="A23" s="617" t="b">
        <f ca="1">_xll.PALO.HIDEROW(ISBLANK($A$1))</f>
        <v>1</v>
      </c>
      <c r="D23" s="636" t="str">
        <f t="shared" ca="1" si="1"/>
        <v>ERC-2023-COG</v>
      </c>
      <c r="E23" s="635">
        <f ca="1">_xll.PALO.DATAC("jedoxtest/EU_PM_CUBE02","EUPM_Mittel2_Cube",AT_ExSc_Datenstand,"Alle Beteiligungen","Alle Koordinatoren","Alle Unternehmensgrößen","-2","Alle Organisationstypen",28,"Alle Expertevaluierungsstatus","-2","-2",1,"-2","Alle",$S23,E$8)</f>
        <v>19</v>
      </c>
      <c r="F23" s="635">
        <f ca="1">_xll.PALO.DATAC("jedoxtest/EU_PM_CUBE02","EUPM_Mittel2_Cube",AT_ExSc_Datenstand,"Alle Beteiligungen","Alle Koordinatoren","Alle Unternehmensgrößen","-2","Alle Organisationstypen",28,"Alle Expertevaluierungsstatus","-2","-2",1,"-2","Alle",$S23,F$8)</f>
        <v>32947990.129999999</v>
      </c>
      <c r="G23" s="635">
        <f ca="1">_xll.PALO.DATAC("jedoxtest/EU_PM_CUBE02","EUPM_Mittel2_Cube",AT_ExSc_Datenstand,"Alle Beteiligungen","Alle Koordinatoren","Alle Unternehmensgrößen","-2","Alle Organisationstypen",28,"Alle Expertevaluierungsstatus","-2","-2",1,"-2","Alle",$S23,G$8)</f>
        <v>17</v>
      </c>
      <c r="S23" s="617">
        <v>2973</v>
      </c>
      <c r="T23" s="619" t="str">
        <f ca="1">_xll.PALO.DATA("jedoxtest/EU_PM_CUBE02","#_Call","Bezeichnung",$S23)</f>
        <v>ERC-2023-COG</v>
      </c>
      <c r="U23" s="618">
        <f ca="1">LEN(T23)</f>
        <v>12</v>
      </c>
    </row>
    <row r="24" spans="1:26" s="618" customFormat="1" hidden="1">
      <c r="A24" s="617" t="b">
        <f ca="1">_xll.PALO.HIDEROW(ISBLANK($A$1))</f>
        <v>1</v>
      </c>
      <c r="D24" s="636" t="str">
        <f t="shared" ca="1" si="1"/>
        <v>ERC-2024-COG</v>
      </c>
      <c r="E24" s="635">
        <f ca="1">_xll.PALO.DATAC("jedoxtest/EU_PM_CUBE02","EUPM_Mittel2_Cube",AT_ExSc_Datenstand,"Alle Beteiligungen","Alle Koordinatoren","Alle Unternehmensgrößen","-2","Alle Organisationstypen",28,"Alle Expertevaluierungsstatus","-2","-2",1,"-2","Alle",$S24,E$8)</f>
        <v>11</v>
      </c>
      <c r="F24" s="635">
        <f ca="1">_xll.PALO.DATAC("jedoxtest/EU_PM_CUBE02","EUPM_Mittel2_Cube",AT_ExSc_Datenstand,"Alle Beteiligungen","Alle Koordinatoren","Alle Unternehmensgrößen","-2","Alle Organisationstypen",28,"Alle Expertevaluierungsstatus","-2","-2",1,"-2","Alle",$S24,F$8)</f>
        <v>22217080</v>
      </c>
      <c r="G24" s="635">
        <f ca="1">_xll.PALO.DATAC("jedoxtest/EU_PM_CUBE02","EUPM_Mittel2_Cube",AT_ExSc_Datenstand,"Alle Beteiligungen","Alle Koordinatoren","Alle Unternehmensgrößen","-2","Alle Organisationstypen",28,"Alle Expertevaluierungsstatus","-2","-2",1,"-2","Alle",$S24,G$8)</f>
        <v>11</v>
      </c>
      <c r="S24" s="680">
        <v>3171</v>
      </c>
      <c r="T24" s="619" t="str">
        <f ca="1">_xll.PALO.DATA("jedoxtest/EU_PM_CUBE02","#_Call","Bezeichnung",$S24)</f>
        <v>ERC-2024-COG</v>
      </c>
      <c r="U24" s="618">
        <f ca="1">LEN(T24)</f>
        <v>12</v>
      </c>
    </row>
    <row r="25" spans="1:26" s="618" customFormat="1" hidden="1">
      <c r="A25" s="617" t="b">
        <f ca="1">_xll.PALO.HIDEROW(ISBLANK($A$1))</f>
        <v>1</v>
      </c>
      <c r="D25" s="636" t="str">
        <f t="shared" ca="1" si="1"/>
        <v>ERC-2025-COG</v>
      </c>
      <c r="E25" s="635">
        <f ca="1">_xll.PALO.DATAC("jedoxtest/EU_PM_CUBE02","EUPM_Mittel2_Cube",AT_ExSc_Datenstand,"Alle Beteiligungen","Alle Koordinatoren","Alle Unternehmensgrößen","-2","Alle Organisationstypen",28,"Alle Expertevaluierungsstatus","-2","-2",1,"-2","Alle",$S25,E$8)</f>
        <v>11</v>
      </c>
      <c r="F25" s="635">
        <f ca="1">_xll.PALO.DATAC("jedoxtest/EU_PM_CUBE02","EUPM_Mittel2_Cube",AT_ExSc_Datenstand,"Alle Beteiligungen","Alle Koordinatoren","Alle Unternehmensgrößen","-2","Alle Organisationstypen",28,"Alle Expertevaluierungsstatus","-2","-2",1,"-2","Alle",$S25,F$8)</f>
        <v>22951833</v>
      </c>
      <c r="G25" s="635">
        <f ca="1">_xll.PALO.DATAC("jedoxtest/EU_PM_CUBE02","EUPM_Mittel2_Cube",AT_ExSc_Datenstand,"Alle Beteiligungen","Alle Koordinatoren","Alle Unternehmensgrößen","-2","Alle Organisationstypen",28,"Alle Expertevaluierungsstatus","-2","-2",1,"-2","Alle",$S25,G$8)</f>
        <v>11</v>
      </c>
      <c r="S25">
        <v>5337</v>
      </c>
      <c r="T25" s="619" t="str">
        <f ca="1">_xll.PALO.DATA("jedoxtest/EU_PM_CUBE02","#_Call","Bezeichnung",$S25)</f>
        <v>ERC-2025-COG</v>
      </c>
      <c r="U25" s="618">
        <f ca="1">LEN(T25)</f>
        <v>12</v>
      </c>
    </row>
    <row r="26" spans="1:26" s="618" customFormat="1" hidden="1">
      <c r="A26" s="617" t="b">
        <f ca="1">_xll.PALO.HIDEROW(ISBLANK($A$1))</f>
        <v>1</v>
      </c>
      <c r="D26" s="638"/>
      <c r="E26" s="633"/>
      <c r="F26" s="633"/>
      <c r="G26" s="633"/>
      <c r="S26" s="617"/>
      <c r="T26" s="619"/>
    </row>
    <row r="27" spans="1:26" s="618" customFormat="1">
      <c r="D27" s="638" t="str">
        <f>T27</f>
        <v>ERC Advanced Grant</v>
      </c>
      <c r="E27" s="637">
        <f ca="1">SUM(E28:E31)</f>
        <v>48</v>
      </c>
      <c r="F27" s="637">
        <f ca="1">SUM(F28:F31)</f>
        <v>108311049.26000001</v>
      </c>
      <c r="G27" s="637">
        <f ca="1">SUM(G28:G31)</f>
        <v>43</v>
      </c>
      <c r="S27" s="617"/>
      <c r="T27" s="619" t="s">
        <v>305</v>
      </c>
    </row>
    <row r="28" spans="1:26" s="618" customFormat="1" hidden="1">
      <c r="A28" s="617" t="b">
        <f ca="1">_xll.PALO.HIDEROW(ISBLANK($A$1))</f>
        <v>1</v>
      </c>
      <c r="D28" s="636" t="str">
        <f ca="1">T28</f>
        <v>ERC-2021-ADG</v>
      </c>
      <c r="E28" s="635">
        <f ca="1">_xll.PALO.DATAC("jedoxtest/EU_PM_CUBE02","EUPM_Mittel2_Cube",AT_ExSc_Datenstand,"Alle Beteiligungen","Alle Koordinatoren","Alle Unternehmensgrößen","-2","Alle Organisationstypen",28,"Alle Expertevaluierungsstatus","-2","-2",1,"-2","Alle",$S28,E$8)</f>
        <v>15</v>
      </c>
      <c r="F28" s="635">
        <f ca="1">_xll.PALO.DATAC("jedoxtest/EU_PM_CUBE02","EUPM_Mittel2_Cube",AT_ExSc_Datenstand,"Alle Beteiligungen","Alle Koordinatoren","Alle Unternehmensgrößen","-2","Alle Organisationstypen",28,"Alle Expertevaluierungsstatus","-2","-2",1,"-2","Alle",$S28,F$8)</f>
        <v>30567604.760000002</v>
      </c>
      <c r="G28" s="635">
        <f ca="1">_xll.PALO.DATAC("jedoxtest/EU_PM_CUBE02","EUPM_Mittel2_Cube",AT_ExSc_Datenstand,"Alle Beteiligungen","Alle Koordinatoren","Alle Unternehmensgrößen","-2","Alle Organisationstypen",28,"Alle Expertevaluierungsstatus","-2","-2",1,"-2","Alle",$S28,G$8)</f>
        <v>12</v>
      </c>
      <c r="S28" s="643">
        <v>2626</v>
      </c>
      <c r="T28" s="619" t="str">
        <f ca="1">_xll.PALO.DATA("jedoxtest/EU_PM_CUBE02","#_Call","Bezeichnung",$S28)</f>
        <v>ERC-2021-ADG</v>
      </c>
      <c r="U28" s="618">
        <f ca="1">LEN(T28)</f>
        <v>12</v>
      </c>
    </row>
    <row r="29" spans="1:26" s="618" customFormat="1" hidden="1">
      <c r="A29" s="617" t="b">
        <f ca="1">_xll.PALO.HIDEROW(ISBLANK($A$1))</f>
        <v>1</v>
      </c>
      <c r="D29" s="636" t="str">
        <f ca="1">T29</f>
        <v>ERC-2022-ADG</v>
      </c>
      <c r="E29" s="635">
        <f ca="1">_xll.PALO.DATAC("jedoxtest/EU_PM_CUBE02","EUPM_Mittel2_Cube",AT_ExSc_Datenstand,"Alle Beteiligungen","Alle Koordinatoren","Alle Unternehmensgrößen","-2","Alle Organisationstypen",28,"Alle Expertevaluierungsstatus","-2","-2",1,"-2","Alle",$S29,E$8)</f>
        <v>4</v>
      </c>
      <c r="F29" s="635">
        <f ca="1">_xll.PALO.DATAC("jedoxtest/EU_PM_CUBE02","EUPM_Mittel2_Cube",AT_ExSc_Datenstand,"Alle Beteiligungen","Alle Koordinatoren","Alle Unternehmensgrößen","-2","Alle Organisationstypen",28,"Alle Expertevaluierungsstatus","-2","-2",1,"-2","Alle",$S29,F$8)</f>
        <v>8707049</v>
      </c>
      <c r="G29" s="635">
        <f ca="1">_xll.PALO.DATAC("jedoxtest/EU_PM_CUBE02","EUPM_Mittel2_Cube",AT_ExSc_Datenstand,"Alle Beteiligungen","Alle Koordinatoren","Alle Unternehmensgrößen","-2","Alle Organisationstypen",28,"Alle Expertevaluierungsstatus","-2","-2",1,"-2","Alle",$S29,G$8)</f>
        <v>4</v>
      </c>
      <c r="S29" s="643">
        <v>2896</v>
      </c>
      <c r="T29" s="619" t="str">
        <f ca="1">_xll.PALO.DATA("jedoxtest/EU_PM_CUBE02","#_Call","Bezeichnung",$S29)</f>
        <v>ERC-2022-ADG</v>
      </c>
      <c r="U29" s="618">
        <f ca="1">LEN(T29)</f>
        <v>12</v>
      </c>
    </row>
    <row r="30" spans="1:26" s="618" customFormat="1" hidden="1">
      <c r="A30" s="617" t="b">
        <f ca="1">_xll.PALO.HIDEROW(ISBLANK($A$1))</f>
        <v>1</v>
      </c>
      <c r="D30" s="636" t="str">
        <f ca="1">T30</f>
        <v>ERC-2023-ADG</v>
      </c>
      <c r="E30" s="635">
        <f ca="1">_xll.PALO.DATAC("jedoxtest/EU_PM_CUBE02","EUPM_Mittel2_Cube",AT_ExSc_Datenstand,"Alle Beteiligungen","Alle Koordinatoren","Alle Unternehmensgrößen","-2","Alle Organisationstypen",28,"Alle Expertevaluierungsstatus","-2","-2",1,"-2","Alle",$S30,E$8)</f>
        <v>14</v>
      </c>
      <c r="F30" s="635">
        <f ca="1">_xll.PALO.DATAC("jedoxtest/EU_PM_CUBE02","EUPM_Mittel2_Cube",AT_ExSc_Datenstand,"Alle Beteiligungen","Alle Koordinatoren","Alle Unternehmensgrößen","-2","Alle Organisationstypen",28,"Alle Expertevaluierungsstatus","-2","-2",1,"-2","Alle",$S30,F$8)</f>
        <v>34014185</v>
      </c>
      <c r="G30" s="635">
        <f ca="1">_xll.PALO.DATAC("jedoxtest/EU_PM_CUBE02","EUPM_Mittel2_Cube",AT_ExSc_Datenstand,"Alle Beteiligungen","Alle Koordinatoren","Alle Unternehmensgrößen","-2","Alle Organisationstypen",28,"Alle Expertevaluierungsstatus","-2","-2",1,"-2","Alle",$S30,G$8)</f>
        <v>13</v>
      </c>
      <c r="S30" s="617">
        <v>3041</v>
      </c>
      <c r="T30" s="619" t="str">
        <f ca="1">_xll.PALO.DATA("jedoxtest/EU_PM_CUBE02","#_Call","Bezeichnung",$S30)</f>
        <v>ERC-2023-ADG</v>
      </c>
      <c r="U30" s="618">
        <f ca="1">LEN(T30)</f>
        <v>12</v>
      </c>
    </row>
    <row r="31" spans="1:26" s="618" customFormat="1" hidden="1">
      <c r="A31" s="617" t="b">
        <f ca="1">_xll.PALO.HIDEROW(ISBLANK($A$1))</f>
        <v>1</v>
      </c>
      <c r="D31" s="636" t="str">
        <f ca="1">T31</f>
        <v>ERC-2024-ADG</v>
      </c>
      <c r="E31" s="635">
        <f ca="1">_xll.PALO.DATAC("jedoxtest/EU_PM_CUBE02","EUPM_Mittel2_Cube",AT_ExSc_Datenstand,"Alle Beteiligungen","Alle Koordinatoren","Alle Unternehmensgrößen","-2","Alle Organisationstypen",28,"Alle Expertevaluierungsstatus","-2","-2",1,"-2","Alle",$S31,E$8)</f>
        <v>15</v>
      </c>
      <c r="F31" s="635">
        <f ca="1">_xll.PALO.DATAC("jedoxtest/EU_PM_CUBE02","EUPM_Mittel2_Cube",AT_ExSc_Datenstand,"Alle Beteiligungen","Alle Koordinatoren","Alle Unternehmensgrößen","-2","Alle Organisationstypen",28,"Alle Expertevaluierungsstatus","-2","-2",1,"-2","Alle",$S31,F$8)</f>
        <v>35022210.5</v>
      </c>
      <c r="G31" s="635">
        <f ca="1">_xll.PALO.DATAC("jedoxtest/EU_PM_CUBE02","EUPM_Mittel2_Cube",AT_ExSc_Datenstand,"Alle Beteiligungen","Alle Koordinatoren","Alle Unternehmensgrößen","-2","Alle Organisationstypen",28,"Alle Expertevaluierungsstatus","-2","-2",1,"-2","Alle",$S31,G$8)</f>
        <v>14</v>
      </c>
      <c r="S31" s="681">
        <v>5221</v>
      </c>
      <c r="T31" s="619" t="str">
        <f ca="1">_xll.PALO.DATA("jedoxtest/EU_PM_CUBE02","#_Call","Bezeichnung",$S31)</f>
        <v>ERC-2024-ADG</v>
      </c>
      <c r="U31" s="618">
        <f ca="1">LEN(T31)</f>
        <v>12</v>
      </c>
    </row>
    <row r="32" spans="1:26" s="618" customFormat="1" hidden="1">
      <c r="A32" s="617" t="b">
        <f ca="1">_xll.PALO.HIDEROW(ISBLANK($A$1))</f>
        <v>1</v>
      </c>
      <c r="D32" s="638"/>
      <c r="E32" s="633"/>
      <c r="F32" s="633"/>
      <c r="G32" s="633"/>
      <c r="S32" s="617"/>
      <c r="T32" s="619"/>
    </row>
    <row r="33" spans="1:21" s="618" customFormat="1">
      <c r="D33" s="632" t="str">
        <f t="shared" ref="D33:D45" si="2">T33</f>
        <v>ERC andere</v>
      </c>
      <c r="E33" s="631">
        <f ca="1">SUM(E34:E50)</f>
        <v>55</v>
      </c>
      <c r="F33" s="631">
        <f ca="1">SUM(F34:F50)</f>
        <v>47059523.909999996</v>
      </c>
      <c r="G33" s="631">
        <f ca="1">SUM(G34:G50)</f>
        <v>40</v>
      </c>
      <c r="S33" s="617"/>
      <c r="T33" s="619" t="s">
        <v>306</v>
      </c>
    </row>
    <row r="34" spans="1:21" s="618" customFormat="1" hidden="1">
      <c r="A34" s="617" t="b">
        <f ca="1">_xll.PALO.HIDEROW(ISBLANK($A$1))</f>
        <v>1</v>
      </c>
      <c r="D34" s="621" t="str">
        <f t="shared" ca="1" si="2"/>
        <v>ERC-2022-POC1</v>
      </c>
      <c r="E34" s="620">
        <f ca="1">_xll.PALO.DATAC("jedoxtest/EU_PM_CUBE02","EUPM_Mittel2_Cube",AT_ExSc_Datenstand,"Alle Beteiligungen","Alle Koordinatoren","Alle Unternehmensgrößen","-2","Alle Organisationstypen",28,"Alle Expertevaluierungsstatus","-2","-2",1,"-2","Alle",$S34,E$8)</f>
        <v>9</v>
      </c>
      <c r="F34" s="620">
        <f ca="1">_xll.PALO.DATAC("jedoxtest/EU_PM_CUBE02","EUPM_Mittel2_Cube",AT_ExSc_Datenstand,"Alle Beteiligungen","Alle Koordinatoren","Alle Unternehmensgrößen","-2","Alle Organisationstypen",28,"Alle Expertevaluierungsstatus","-2","-2",1,"-2","Alle",$S34,F$8)</f>
        <v>1200000</v>
      </c>
      <c r="G34" s="620">
        <f ca="1">_xll.PALO.DATAC("jedoxtest/EU_PM_CUBE02","EUPM_Mittel2_Cube",AT_ExSc_Datenstand,"Alle Beteiligungen","Alle Koordinatoren","Alle Unternehmensgrößen","-2","Alle Organisationstypen",28,"Alle Expertevaluierungsstatus","-2","-2",1,"-2","Alle",$S34,G$8)</f>
        <v>8</v>
      </c>
      <c r="S34" s="643">
        <v>2628</v>
      </c>
      <c r="T34" s="619" t="str">
        <f ca="1">_xll.PALO.DATA("jedoxtest/EU_PM_CUBE02","#_Call","Bezeichnung",$S34)</f>
        <v>ERC-2022-POC1</v>
      </c>
      <c r="U34" s="618">
        <f t="shared" ref="U34:U45" ca="1" si="3">LEN(T34)</f>
        <v>13</v>
      </c>
    </row>
    <row r="35" spans="1:21" s="618" customFormat="1" hidden="1">
      <c r="A35" s="617" t="b">
        <f ca="1">_xll.PALO.HIDEROW(ISBLANK($A$1))</f>
        <v>1</v>
      </c>
      <c r="D35" s="621" t="str">
        <f t="shared" ca="1" si="2"/>
        <v>ERC-2022-POC2</v>
      </c>
      <c r="E35" s="635">
        <f ca="1">_xll.PALO.DATAC("jedoxtest/EU_PM_CUBE02","EUPM_Mittel2_Cube",AT_ExSc_Datenstand,"Alle Beteiligungen","Alle Koordinatoren","Alle Unternehmensgrößen","-2","Alle Organisationstypen",28,"Alle Expertevaluierungsstatus","-2","-2",1,"-2","Alle",$S35,E$8)</f>
        <v>7</v>
      </c>
      <c r="F35" s="635">
        <f ca="1">_xll.PALO.DATAC("jedoxtest/EU_PM_CUBE02","EUPM_Mittel2_Cube",AT_ExSc_Datenstand,"Alle Beteiligungen","Alle Koordinatoren","Alle Unternehmensgrößen","-2","Alle Organisationstypen",28,"Alle Expertevaluierungsstatus","-2","-2",1,"-2","Alle",$S35,F$8)</f>
        <v>1050000</v>
      </c>
      <c r="G35" s="635">
        <f ca="1">_xll.PALO.DATAC("jedoxtest/EU_PM_CUBE02","EUPM_Mittel2_Cube",AT_ExSc_Datenstand,"Alle Beteiligungen","Alle Koordinatoren","Alle Unternehmensgrößen","-2","Alle Organisationstypen",28,"Alle Expertevaluierungsstatus","-2","-2",1,"-2","Alle",$S35,G$8)</f>
        <v>7</v>
      </c>
      <c r="S35" s="643">
        <v>2819</v>
      </c>
      <c r="T35" s="619" t="str">
        <f ca="1">_xll.PALO.DATA("jedoxtest/EU_PM_CUBE02","#_Call","Bezeichnung",$S35)</f>
        <v>ERC-2022-POC2</v>
      </c>
      <c r="U35" s="618">
        <f t="shared" ca="1" si="3"/>
        <v>13</v>
      </c>
    </row>
    <row r="36" spans="1:21" s="618" customFormat="1" hidden="1">
      <c r="A36" s="617" t="b">
        <f ca="1">_xll.PALO.HIDEROW(ISBLANK($A$1))</f>
        <v>1</v>
      </c>
      <c r="D36" s="621" t="str">
        <f t="shared" ca="1" si="2"/>
        <v>ERC-2023-POC</v>
      </c>
      <c r="E36" s="635">
        <f ca="1">_xll.PALO.DATAC("jedoxtest/EU_PM_CUBE02","EUPM_Mittel2_Cube",AT_ExSc_Datenstand,"Alle Beteiligungen","Alle Koordinatoren","Alle Unternehmensgrößen","-2","Alle Organisationstypen",28,"Alle Expertevaluierungsstatus","-2","-2",1,"-2","Alle",$S36,E$8)</f>
        <v>11</v>
      </c>
      <c r="F36" s="635">
        <f ca="1">_xll.PALO.DATAC("jedoxtest/EU_PM_CUBE02","EUPM_Mittel2_Cube",AT_ExSc_Datenstand,"Alle Beteiligungen","Alle Koordinatoren","Alle Unternehmensgrößen","-2","Alle Organisationstypen",28,"Alle Expertevaluierungsstatus","-2","-2",1,"-2","Alle",$S36,F$8)</f>
        <v>1385423.41</v>
      </c>
      <c r="G36" s="635">
        <f ca="1">_xll.PALO.DATAC("jedoxtest/EU_PM_CUBE02","EUPM_Mittel2_Cube",AT_ExSc_Datenstand,"Alle Beteiligungen","Alle Koordinatoren","Alle Unternehmensgrößen","-2","Alle Organisationstypen",28,"Alle Expertevaluierungsstatus","-2","-2",1,"-2","Alle",$S36,G$8)</f>
        <v>9</v>
      </c>
      <c r="S36" s="643">
        <v>2898</v>
      </c>
      <c r="T36" s="619" t="str">
        <f ca="1">_xll.PALO.DATA("jedoxtest/EU_PM_CUBE02","#_Call","Bezeichnung",$S36)</f>
        <v>ERC-2023-POC</v>
      </c>
      <c r="U36" s="618">
        <f t="shared" ca="1" si="3"/>
        <v>12</v>
      </c>
    </row>
    <row r="37" spans="1:21" s="618" customFormat="1" hidden="1">
      <c r="A37" s="617" t="b">
        <f ca="1">_xll.PALO.HIDEROW(ISBLANK($A$1))</f>
        <v>1</v>
      </c>
      <c r="D37" s="621" t="str">
        <f t="shared" ref="D37" ca="1" si="4">T37</f>
        <v>ERC-2024-POC</v>
      </c>
      <c r="E37" s="635">
        <f ca="1">_xll.PALO.DATAC("jedoxtest/EU_PM_CUBE02","EUPM_Mittel2_Cube",AT_ExSc_Datenstand,"Alle Beteiligungen","Alle Koordinatoren","Alle Unternehmensgrößen","-2","Alle Organisationstypen",28,"Alle Expertevaluierungsstatus","-2","-2",1,"-2","Alle",$S37,E$8)</f>
        <v>9</v>
      </c>
      <c r="F37" s="635">
        <f ca="1">_xll.PALO.DATAC("jedoxtest/EU_PM_CUBE02","EUPM_Mittel2_Cube",AT_ExSc_Datenstand,"Alle Beteiligungen","Alle Koordinatoren","Alle Unternehmensgrößen","-2","Alle Organisationstypen",28,"Alle Expertevaluierungsstatus","-2","-2",1,"-2","Alle",$S37,F$8)</f>
        <v>1200000</v>
      </c>
      <c r="G37" s="635">
        <f ca="1">_xll.PALO.DATAC("jedoxtest/EU_PM_CUBE02","EUPM_Mittel2_Cube",AT_ExSc_Datenstand,"Alle Beteiligungen","Alle Koordinatoren","Alle Unternehmensgrößen","-2","Alle Organisationstypen",28,"Alle Expertevaluierungsstatus","-2","-2",1,"-2","Alle",$S37,G$8)</f>
        <v>8</v>
      </c>
      <c r="S37" s="680">
        <v>3173</v>
      </c>
      <c r="T37" s="619" t="str">
        <f ca="1">_xll.PALO.DATA("jedoxtest/EU_PM_CUBE02","#_Call","Bezeichnung",$S37)</f>
        <v>ERC-2024-POC</v>
      </c>
      <c r="U37" s="618">
        <f ca="1">LEN(T37)</f>
        <v>12</v>
      </c>
    </row>
    <row r="38" spans="1:21" s="618" customFormat="1" hidden="1">
      <c r="A38" s="617" t="b">
        <f ca="1">_xll.PALO.HIDEROW(ISBLANK($A$1))</f>
        <v>1</v>
      </c>
      <c r="D38" s="621" t="str">
        <f t="shared" ref="D38" ca="1" si="5">T38</f>
        <v>ERC-2025-POC</v>
      </c>
      <c r="E38" s="635">
        <f ca="1">_xll.PALO.DATAC("jedoxtest/EU_PM_CUBE02","EUPM_Mittel2_Cube",AT_ExSc_Datenstand,"Alle Beteiligungen","Alle Koordinatoren","Alle Unternehmensgrößen","-2","Alle Organisationstypen",28,"Alle Expertevaluierungsstatus","-2","-2",1,"-2","Alle",$S38,E$8)</f>
        <v>3</v>
      </c>
      <c r="F38" s="635">
        <f ca="1">_xll.PALO.DATAC("jedoxtest/EU_PM_CUBE02","EUPM_Mittel2_Cube",AT_ExSc_Datenstand,"Alle Beteiligungen","Alle Koordinatoren","Alle Unternehmensgrößen","-2","Alle Organisationstypen",28,"Alle Expertevaluierungsstatus","-2","-2",1,"-2","Alle",$S38,F$8)</f>
        <v>450000</v>
      </c>
      <c r="G38" s="635">
        <f ca="1">_xll.PALO.DATAC("jedoxtest/EU_PM_CUBE02","EUPM_Mittel2_Cube",AT_ExSc_Datenstand,"Alle Beteiligungen","Alle Koordinatoren","Alle Unternehmensgrößen","-2","Alle Organisationstypen",28,"Alle Expertevaluierungsstatus","-2","-2",1,"-2","Alle",$S38,G$8)</f>
        <v>3</v>
      </c>
      <c r="S38" s="690">
        <v>5250</v>
      </c>
      <c r="T38" s="619" t="str">
        <f ca="1">_xll.PALO.DATA("jedoxtest/EU_PM_CUBE02","#_Call","Bezeichnung",$S38)</f>
        <v>ERC-2025-POC</v>
      </c>
      <c r="U38" s="618">
        <f ca="1">LEN(T38)</f>
        <v>12</v>
      </c>
    </row>
    <row r="39" spans="1:21" s="618" customFormat="1" hidden="1">
      <c r="A39" s="617" t="b">
        <f ca="1">_xll.PALO.HIDEROW(ISBLANK($A$1))</f>
        <v>1</v>
      </c>
      <c r="D39" s="621" t="str">
        <f t="shared" ca="1" si="2"/>
        <v>ERC-2022-SYG</v>
      </c>
      <c r="E39" s="635">
        <f ca="1">_xll.PALO.DATAC("jedoxtest/EU_PM_CUBE02","EUPM_Mittel2_Cube",AT_ExSc_Datenstand,"Alle Beteiligungen","Alle Koordinatoren","Alle Unternehmensgrößen","-2","Alle Organisationstypen",28,"Alle Expertevaluierungsstatus","-2","-2",1,"-2","Alle",$S39,E$8)</f>
        <v>6</v>
      </c>
      <c r="F39" s="635">
        <f ca="1">_xll.PALO.DATAC("jedoxtest/EU_PM_CUBE02","EUPM_Mittel2_Cube",AT_ExSc_Datenstand,"Alle Beteiligungen","Alle Koordinatoren","Alle Unternehmensgrößen","-2","Alle Organisationstypen",28,"Alle Expertevaluierungsstatus","-2","-2",1,"-2","Alle",$S39,F$8)</f>
        <v>15663624</v>
      </c>
      <c r="G39" s="635">
        <f ca="1">_xll.PALO.DATAC("jedoxtest/EU_PM_CUBE02","EUPM_Mittel2_Cube",AT_ExSc_Datenstand,"Alle Beteiligungen","Alle Koordinatoren","Alle Unternehmensgrößen","-2","Alle Organisationstypen",28,"Alle Expertevaluierungsstatus","-2","-2",1,"-2","Alle",$S39,G$8)</f>
        <v>2</v>
      </c>
      <c r="S39" s="643">
        <v>2821</v>
      </c>
      <c r="T39" s="619" t="str">
        <f ca="1">_xll.PALO.DATA("jedoxtest/EU_PM_CUBE02","#_Call","Bezeichnung",$S39)</f>
        <v>ERC-2022-SYG</v>
      </c>
      <c r="U39" s="618">
        <f t="shared" ca="1" si="3"/>
        <v>12</v>
      </c>
    </row>
    <row r="40" spans="1:21" s="618" customFormat="1" hidden="1">
      <c r="A40" s="617" t="b">
        <f ca="1">_xll.PALO.HIDEROW(ISBLANK($A$1))</f>
        <v>1</v>
      </c>
      <c r="D40" s="621" t="str">
        <f t="shared" ca="1" si="2"/>
        <v>ERC-2023-SyG</v>
      </c>
      <c r="E40" s="635">
        <f ca="1">_xll.PALO.DATAC("jedoxtest/EU_PM_CUBE02","EUPM_Mittel2_Cube",AT_ExSc_Datenstand,"Alle Beteiligungen","Alle Koordinatoren","Alle Unternehmensgrößen","-2","Alle Organisationstypen",28,"Alle Expertevaluierungsstatus","-2","-2",1,"-2","Alle",$S40,E$8)</f>
        <v>4</v>
      </c>
      <c r="F40" s="635">
        <f ca="1">_xll.PALO.DATAC("jedoxtest/EU_PM_CUBE02","EUPM_Mittel2_Cube",AT_ExSc_Datenstand,"Alle Beteiligungen","Alle Koordinatoren","Alle Unternehmensgrößen","-2","Alle Organisationstypen",28,"Alle Expertevaluierungsstatus","-2","-2",1,"-2","Alle",$S40,F$8)</f>
        <v>11875006.5</v>
      </c>
      <c r="G40" s="635">
        <f ca="1">_xll.PALO.DATAC("jedoxtest/EU_PM_CUBE02","EUPM_Mittel2_Cube",AT_ExSc_Datenstand,"Alle Beteiligungen","Alle Koordinatoren","Alle Unternehmensgrößen","-2","Alle Organisationstypen",28,"Alle Expertevaluierungsstatus","-2","-2",1,"-2","Alle",$S40,G$8)</f>
        <v>3</v>
      </c>
      <c r="S40" s="643">
        <v>2953</v>
      </c>
      <c r="T40" s="619" t="str">
        <f ca="1">_xll.PALO.DATA("jedoxtest/EU_PM_CUBE02","#_Call","Bezeichnung",$S40)</f>
        <v>ERC-2023-SyG</v>
      </c>
      <c r="U40" s="618">
        <f t="shared" ca="1" si="3"/>
        <v>12</v>
      </c>
    </row>
    <row r="41" spans="1:21" s="618" customFormat="1" hidden="1">
      <c r="A41" s="617" t="b">
        <f ca="1">_xll.PALO.HIDEROW(ISBLANK($A$1))</f>
        <v>1</v>
      </c>
      <c r="D41" s="621" t="str">
        <f t="shared" ref="D41" ca="1" si="6">T41</f>
        <v>ERC-2024-SyG</v>
      </c>
      <c r="E41" s="635">
        <f ca="1">_xll.PALO.DATAC("jedoxtest/EU_PM_CUBE02","EUPM_Mittel2_Cube",AT_ExSc_Datenstand,"Alle Beteiligungen","Alle Koordinatoren","Alle Unternehmensgrößen","-2","Alle Organisationstypen",28,"Alle Expertevaluierungsstatus","-2","-2",1,"-2","Alle",$S41,E$8)</f>
        <v>5</v>
      </c>
      <c r="F41" s="635">
        <f ca="1">_xll.PALO.DATAC("jedoxtest/EU_PM_CUBE02","EUPM_Mittel2_Cube",AT_ExSc_Datenstand,"Alle Beteiligungen","Alle Koordinatoren","Alle Unternehmensgrößen","-2","Alle Organisationstypen",28,"Alle Expertevaluierungsstatus","-2","-2",1,"-2","Alle",$S41,F$8)</f>
        <v>14178386.25</v>
      </c>
      <c r="G41" s="635">
        <f ca="1">_xll.PALO.DATAC("jedoxtest/EU_PM_CUBE02","EUPM_Mittel2_Cube",AT_ExSc_Datenstand,"Alle Beteiligungen","Alle Koordinatoren","Alle Unternehmensgrößen","-2","Alle Organisationstypen",28,"Alle Expertevaluierungsstatus","-2","-2",1,"-2","Alle",$S41,G$8)</f>
        <v>0</v>
      </c>
      <c r="S41" s="680">
        <v>3175</v>
      </c>
      <c r="T41" s="619" t="str">
        <f ca="1">_xll.PALO.DATA("jedoxtest/EU_PM_CUBE02","#_Call","Bezeichnung",$S41)</f>
        <v>ERC-2024-SyG</v>
      </c>
      <c r="U41" s="618">
        <f ca="1">LEN(T41)</f>
        <v>12</v>
      </c>
    </row>
    <row r="42" spans="1:21" s="618" customFormat="1" hidden="1">
      <c r="A42" s="617" t="b">
        <f ca="1">_xll.PALO.HIDEROW(ISBLANK($A$1))</f>
        <v>1</v>
      </c>
      <c r="D42" s="621" t="str">
        <f t="shared" ca="1" si="2"/>
        <v>HORIZON-ERC-2021-VICECHAIRS-IBA</v>
      </c>
      <c r="E42" s="635">
        <f ca="1">_xll.PALO.DATAC("jedoxtest/EU_PM_CUBE02","EUPM_Mittel2_Cube",AT_ExSc_Datenstand,"Alle Beteiligungen","Alle Koordinatoren","Alle Unternehmensgrößen","-2","Alle Organisationstypen",28,"Alle Expertevaluierungsstatus","-2","-2",1,"-2","Alle",$S42,E$8)</f>
        <v>0</v>
      </c>
      <c r="F42" s="635">
        <f ca="1">_xll.PALO.DATAC("jedoxtest/EU_PM_CUBE02","EUPM_Mittel2_Cube",AT_ExSc_Datenstand,"Alle Beteiligungen","Alle Koordinatoren","Alle Unternehmensgrößen","-2","Alle Organisationstypen",28,"Alle Expertevaluierungsstatus","-2","-2",1,"-2","Alle",$S42,F$8)</f>
        <v>0</v>
      </c>
      <c r="G42" s="635">
        <f ca="1">_xll.PALO.DATAC("jedoxtest/EU_PM_CUBE02","EUPM_Mittel2_Cube",AT_ExSc_Datenstand,"Alle Beteiligungen","Alle Koordinatoren","Alle Unternehmensgrößen","-2","Alle Organisationstypen",28,"Alle Expertevaluierungsstatus","-2","-2",1,"-2","Alle",$S42,G$8)</f>
        <v>0</v>
      </c>
      <c r="S42" s="643">
        <v>2580</v>
      </c>
      <c r="T42" s="619" t="str">
        <f ca="1">_xll.PALO.DATA("jedoxtest/EU_PM_CUBE02","#_Call","Bezeichnung",$S42)</f>
        <v>HORIZON-ERC-2021-VICECHAIRS-IBA</v>
      </c>
      <c r="U42" s="618">
        <f t="shared" ca="1" si="3"/>
        <v>31</v>
      </c>
    </row>
    <row r="43" spans="1:21" s="618" customFormat="1" hidden="1">
      <c r="A43" s="617" t="b">
        <f ca="1">_xll.PALO.HIDEROW(ISBLANK($A$1))</f>
        <v>1</v>
      </c>
      <c r="D43" s="621" t="str">
        <f t="shared" ca="1" si="2"/>
        <v>HORIZON-ERC-2022-VICECHAIRS-IBA</v>
      </c>
      <c r="E43" s="635">
        <f ca="1">_xll.PALO.DATAC("jedoxtest/EU_PM_CUBE02","EUPM_Mittel2_Cube",AT_ExSc_Datenstand,"Alle Beteiligungen","Alle Koordinatoren","Alle Unternehmensgrößen","-2","Alle Organisationstypen",28,"Alle Expertevaluierungsstatus","-2","-2",1,"-2","Alle",$S43,E$8)</f>
        <v>0</v>
      </c>
      <c r="F43" s="635">
        <f ca="1">_xll.PALO.DATAC("jedoxtest/EU_PM_CUBE02","EUPM_Mittel2_Cube",AT_ExSc_Datenstand,"Alle Beteiligungen","Alle Koordinatoren","Alle Unternehmensgrößen","-2","Alle Organisationstypen",28,"Alle Expertevaluierungsstatus","-2","-2",1,"-2","Alle",$S43,F$8)</f>
        <v>0</v>
      </c>
      <c r="G43" s="635">
        <f ca="1">_xll.PALO.DATAC("jedoxtest/EU_PM_CUBE02","EUPM_Mittel2_Cube",AT_ExSc_Datenstand,"Alle Beteiligungen","Alle Koordinatoren","Alle Unternehmensgrößen","-2","Alle Organisationstypen",28,"Alle Expertevaluierungsstatus","-2","-2",1,"-2","Alle",$S43,G$8)</f>
        <v>0</v>
      </c>
      <c r="S43" s="643">
        <v>2930</v>
      </c>
      <c r="T43" s="619" t="str">
        <f ca="1">_xll.PALO.DATA("jedoxtest/EU_PM_CUBE02","#_Call","Bezeichnung",$S43)</f>
        <v>HORIZON-ERC-2022-VICECHAIRS-IBA</v>
      </c>
      <c r="U43" s="618">
        <f t="shared" ca="1" si="3"/>
        <v>31</v>
      </c>
    </row>
    <row r="44" spans="1:21" s="618" customFormat="1" hidden="1">
      <c r="A44" s="617" t="b">
        <f ca="1">_xll.PALO.HIDEROW(ISBLANK($A$1))</f>
        <v>1</v>
      </c>
      <c r="D44" s="621" t="str">
        <f t="shared" ca="1" si="2"/>
        <v>ERC-2023-SJI</v>
      </c>
      <c r="E44" s="635">
        <f ca="1">_xll.PALO.DATAC("jedoxtest/EU_PM_CUBE02","EUPM_Mittel2_Cube",AT_ExSc_Datenstand,"Alle Beteiligungen","Alle Koordinatoren","Alle Unternehmensgrößen","-2","Alle Organisationstypen",28,"Alle Expertevaluierungsstatus","-2","-2",1,"-2","Alle",$S44,E$8)</f>
        <v>0</v>
      </c>
      <c r="F44" s="635">
        <f ca="1">_xll.PALO.DATAC("jedoxtest/EU_PM_CUBE02","EUPM_Mittel2_Cube",AT_ExSc_Datenstand,"Alle Beteiligungen","Alle Koordinatoren","Alle Unternehmensgrößen","-2","Alle Organisationstypen",28,"Alle Expertevaluierungsstatus","-2","-2",1,"-2","Alle",$S44,F$8)</f>
        <v>0</v>
      </c>
      <c r="G44" s="635">
        <f ca="1">_xll.PALO.DATAC("jedoxtest/EU_PM_CUBE02","EUPM_Mittel2_Cube",AT_ExSc_Datenstand,"Alle Beteiligungen","Alle Koordinatoren","Alle Unternehmensgrößen","-2","Alle Organisationstypen",28,"Alle Expertevaluierungsstatus","-2","-2",1,"-2","Alle",$S44,G$8)</f>
        <v>0</v>
      </c>
      <c r="S44" s="643">
        <v>2899</v>
      </c>
      <c r="T44" s="619" t="str">
        <f ca="1">_xll.PALO.DATA("jedoxtest/EU_PM_CUBE02","#_Call","Bezeichnung",$S44)</f>
        <v>ERC-2023-SJI</v>
      </c>
      <c r="U44" s="618">
        <f t="shared" ca="1" si="3"/>
        <v>12</v>
      </c>
    </row>
    <row r="45" spans="1:21" s="618" customFormat="1" hidden="1">
      <c r="A45" s="617" t="b">
        <f ca="1">_xll.PALO.HIDEROW(ISBLANK($A$1))</f>
        <v>1</v>
      </c>
      <c r="D45" s="621" t="str">
        <f t="shared" ca="1" si="2"/>
        <v>HORIZON-ERC-2023-VICECHAIRS-IBA</v>
      </c>
      <c r="E45" s="642">
        <f ca="1">_xll.PALO.DATAC("jedoxtest/EU_PM_CUBE02","EUPM_Mittel2_Cube",AT_ExSc_Datenstand,"Alle Beteiligungen","Alle Koordinatoren","Alle Unternehmensgrößen","-2","Alle Organisationstypen",28,"Alle Expertevaluierungsstatus","-2","-2",1,"-2","Alle",$S45,E$8)</f>
        <v>0</v>
      </c>
      <c r="F45" s="642">
        <f ca="1">_xll.PALO.DATAC("jedoxtest/EU_PM_CUBE02","EUPM_Mittel2_Cube",AT_ExSc_Datenstand,"Alle Beteiligungen","Alle Koordinatoren","Alle Unternehmensgrößen","-2","Alle Organisationstypen",28,"Alle Expertevaluierungsstatus","-2","-2",1,"-2","Alle",$S45,F$8)</f>
        <v>0</v>
      </c>
      <c r="G45" s="642">
        <f ca="1">_xll.PALO.DATAC("jedoxtest/EU_PM_CUBE02","EUPM_Mittel2_Cube",AT_ExSc_Datenstand,"Alle Beteiligungen","Alle Koordinatoren","Alle Unternehmensgrößen","-2","Alle Organisationstypen",28,"Alle Expertevaluierungsstatus","-2","-2",1,"-2","Alle",$S45,G$8)</f>
        <v>0</v>
      </c>
      <c r="S45" s="617">
        <v>3026</v>
      </c>
      <c r="T45" s="619" t="str">
        <f ca="1">_xll.PALO.DATA("jedoxtest/EU_PM_CUBE02","#_Call","Bezeichnung",$S45)</f>
        <v>HORIZON-ERC-2023-VICECHAIRS-IBA</v>
      </c>
      <c r="U45" s="618">
        <f t="shared" ca="1" si="3"/>
        <v>31</v>
      </c>
    </row>
    <row r="46" spans="1:21" s="618" customFormat="1" hidden="1">
      <c r="A46" s="617" t="b">
        <f ca="1">_xll.PALO.HIDEROW(ISBLANK($A$1))</f>
        <v>1</v>
      </c>
      <c r="D46" s="621" t="str">
        <f t="shared" ref="D46" ca="1" si="7">T46</f>
        <v>ERC-2024-PERA</v>
      </c>
      <c r="E46" s="642">
        <f ca="1">_xll.PALO.DATAC("jedoxtest/EU_PM_CUBE02","EUPM_Mittel2_Cube",AT_ExSc_Datenstand,"Alle Beteiligungen","Alle Koordinatoren","Alle Unternehmensgrößen","-2","Alle Organisationstypen",28,"Alle Expertevaluierungsstatus","-2","-2",1,"-2","Alle",$S46,E$8)</f>
        <v>0</v>
      </c>
      <c r="F46" s="642">
        <f ca="1">_xll.PALO.DATAC("jedoxtest/EU_PM_CUBE02","EUPM_Mittel2_Cube",AT_ExSc_Datenstand,"Alle Beteiligungen","Alle Koordinatoren","Alle Unternehmensgrößen","-2","Alle Organisationstypen",28,"Alle Expertevaluierungsstatus","-2","-2",1,"-2","Alle",$S46,F$8)</f>
        <v>0</v>
      </c>
      <c r="G46" s="642">
        <f ca="1">_xll.PALO.DATAC("jedoxtest/EU_PM_CUBE02","EUPM_Mittel2_Cube",AT_ExSc_Datenstand,"Alle Beteiligungen","Alle Koordinatoren","Alle Unternehmensgrößen","-2","Alle Organisationstypen",28,"Alle Expertevaluierungsstatus","-2","-2",1,"-2","Alle",$S46,G$8)</f>
        <v>0</v>
      </c>
      <c r="S46" s="680">
        <v>3172</v>
      </c>
      <c r="T46" s="619" t="str">
        <f ca="1">_xll.PALO.DATA("jedoxtest/EU_PM_CUBE02","#_Call","Bezeichnung",$S46)</f>
        <v>ERC-2024-PERA</v>
      </c>
      <c r="U46" s="618">
        <f ca="1">LEN(T46)</f>
        <v>13</v>
      </c>
    </row>
    <row r="47" spans="1:21" s="618" customFormat="1" hidden="1">
      <c r="A47" s="617" t="b">
        <f ca="1">_xll.PALO.HIDEROW(ISBLANK($A$1))</f>
        <v>1</v>
      </c>
      <c r="D47" s="621" t="str">
        <f t="shared" ref="D47:D49" ca="1" si="8">T47</f>
        <v>HORIZON-ERC-2025-NCPS-IBA</v>
      </c>
      <c r="E47" s="642">
        <f ca="1">_xll.PALO.DATAC("jedoxtest/EU_PM_CUBE02","EUPM_Mittel2_Cube",AT_ExSc_Datenstand,"Alle Beteiligungen","Alle Koordinatoren","Alle Unternehmensgrößen","-2","Alle Organisationstypen",28,"Alle Expertevaluierungsstatus","-2","-2",1,"-2","Alle",$S47,E$8)</f>
        <v>1</v>
      </c>
      <c r="F47" s="642">
        <f ca="1">_xll.PALO.DATAC("jedoxtest/EU_PM_CUBE02","EUPM_Mittel2_Cube",AT_ExSc_Datenstand,"Alle Beteiligungen","Alle Koordinatoren","Alle Unternehmensgrößen","-2","Alle Organisationstypen",28,"Alle Expertevaluierungsstatus","-2","-2",1,"-2","Alle",$S47,F$8)</f>
        <v>57083.75</v>
      </c>
      <c r="G47" s="642">
        <f ca="1">_xll.PALO.DATAC("jedoxtest/EU_PM_CUBE02","EUPM_Mittel2_Cube",AT_ExSc_Datenstand,"Alle Beteiligungen","Alle Koordinatoren","Alle Unternehmensgrößen","-2","Alle Organisationstypen",28,"Alle Expertevaluierungsstatus","-2","-2",1,"-2","Alle",$S47,G$8)</f>
        <v>0</v>
      </c>
      <c r="S47" t="s">
        <v>412</v>
      </c>
      <c r="T47" s="619" t="str">
        <f ca="1">_xll.PALO.DATA("jedoxtest/EU_PM_CUBE02","#_Call","Bezeichnung",$S47)</f>
        <v>HORIZON-ERC-2025-NCPS-IBA</v>
      </c>
      <c r="U47" s="618">
        <f t="shared" ref="U47:U49" ca="1" si="9">LEN(T47)</f>
        <v>25</v>
      </c>
    </row>
    <row r="48" spans="1:21" s="618" customFormat="1" hidden="1">
      <c r="A48" s="617" t="b">
        <f ca="1">_xll.PALO.HIDEROW(ISBLANK($A$1))</f>
        <v>1</v>
      </c>
      <c r="D48" s="621" t="str">
        <f t="shared" ca="1" si="8"/>
        <v/>
      </c>
      <c r="E48" s="642" t="str">
        <f ca="1">_xll.PALO.DATAC("jedoxtest/EU_PM_CUBE02","EUPM_Mittel2_Cube",AT_ExSc_Datenstand,"Alle Beteiligungen","Alle Koordinatoren","Alle Unternehmensgrößen","-2","Alle Organisationstypen",28,"Alle Expertevaluierungsstatus","-2","-2",1,"-2","Alle",$S48,E$8)</f>
        <v/>
      </c>
      <c r="F48" s="642" t="str">
        <f ca="1">_xll.PALO.DATAC("jedoxtest/EU_PM_CUBE02","EUPM_Mittel2_Cube",AT_ExSc_Datenstand,"Alle Beteiligungen","Alle Koordinatoren","Alle Unternehmensgrößen","-2","Alle Organisationstypen",28,"Alle Expertevaluierungsstatus","-2","-2",1,"-2","Alle",$S48,F$8)</f>
        <v/>
      </c>
      <c r="G48" s="642" t="str">
        <f ca="1">_xll.PALO.DATAC("jedoxtest/EU_PM_CUBE02","EUPM_Mittel2_Cube",AT_ExSc_Datenstand,"Alle Beteiligungen","Alle Koordinatoren","Alle Unternehmensgrößen","-2","Alle Organisationstypen",28,"Alle Expertevaluierungsstatus","-2","-2",1,"-2","Alle",$S48,G$8)</f>
        <v/>
      </c>
      <c r="S48" s="680"/>
      <c r="T48" s="619" t="str">
        <f ca="1">_xll.PALO.DATA("jedoxtest/EU_PM_CUBE02","#_Call","Bezeichnung",$S48)</f>
        <v/>
      </c>
      <c r="U48" s="618">
        <f t="shared" ca="1" si="9"/>
        <v>0</v>
      </c>
    </row>
    <row r="49" spans="1:27" s="618" customFormat="1" hidden="1">
      <c r="A49" s="617" t="b">
        <f ca="1">_xll.PALO.HIDEROW(ISBLANK($A$1))</f>
        <v>1</v>
      </c>
      <c r="D49" s="621" t="str">
        <f t="shared" ca="1" si="8"/>
        <v/>
      </c>
      <c r="E49" s="642" t="str">
        <f ca="1">_xll.PALO.DATAC("jedoxtest/EU_PM_CUBE02","EUPM_Mittel2_Cube",AT_ExSc_Datenstand,"Alle Beteiligungen","Alle Koordinatoren","Alle Unternehmensgrößen","-2","Alle Organisationstypen",28,"Alle Expertevaluierungsstatus","-2","-2",1,"-2","Alle",$S49,E$8)</f>
        <v/>
      </c>
      <c r="F49" s="642" t="str">
        <f ca="1">_xll.PALO.DATAC("jedoxtest/EU_PM_CUBE02","EUPM_Mittel2_Cube",AT_ExSc_Datenstand,"Alle Beteiligungen","Alle Koordinatoren","Alle Unternehmensgrößen","-2","Alle Organisationstypen",28,"Alle Expertevaluierungsstatus","-2","-2",1,"-2","Alle",$S49,F$8)</f>
        <v/>
      </c>
      <c r="G49" s="642" t="str">
        <f ca="1">_xll.PALO.DATAC("jedoxtest/EU_PM_CUBE02","EUPM_Mittel2_Cube",AT_ExSc_Datenstand,"Alle Beteiligungen","Alle Koordinatoren","Alle Unternehmensgrößen","-2","Alle Organisationstypen",28,"Alle Expertevaluierungsstatus","-2","-2",1,"-2","Alle",$S49,G$8)</f>
        <v/>
      </c>
      <c r="S49" s="680"/>
      <c r="T49" s="619" t="str">
        <f ca="1">_xll.PALO.DATA("jedoxtest/EU_PM_CUBE02","#_Call","Bezeichnung",$S49)</f>
        <v/>
      </c>
      <c r="U49" s="618">
        <f t="shared" ca="1" si="9"/>
        <v>0</v>
      </c>
    </row>
    <row r="50" spans="1:27" s="618" customFormat="1" hidden="1">
      <c r="A50" s="617" t="b">
        <f ca="1">_xll.PALO.HIDEROW(ISBLANK($A$1))</f>
        <v>1</v>
      </c>
      <c r="D50" s="621" t="str">
        <f t="shared" ref="D50" ca="1" si="10">T50</f>
        <v/>
      </c>
      <c r="E50" s="635" t="str">
        <f ca="1">_xll.PALO.DATAC("jedoxtest/EU_PM_CUBE02","EUPM_Mittel2_Cube",AT_ExSc_Datenstand,"Alle Beteiligungen","Alle Koordinatoren","Alle Unternehmensgrößen","-2","Alle Organisationstypen",28,"Alle Expertevaluierungsstatus","-2","-2",1,"-2","Alle",$S50,E$8)</f>
        <v/>
      </c>
      <c r="F50" s="635" t="str">
        <f ca="1">_xll.PALO.DATAC("jedoxtest/EU_PM_CUBE02","EUPM_Mittel2_Cube",AT_ExSc_Datenstand,"Alle Beteiligungen","Alle Koordinatoren","Alle Unternehmensgrößen","-2","Alle Organisationstypen",28,"Alle Expertevaluierungsstatus","-2","-2",1,"-2","Alle",$S50,F$8)</f>
        <v/>
      </c>
      <c r="G50" s="635" t="str">
        <f ca="1">_xll.PALO.DATAC("jedoxtest/EU_PM_CUBE02","EUPM_Mittel2_Cube",AT_ExSc_Datenstand,"Alle Beteiligungen","Alle Koordinatoren","Alle Unternehmensgrößen","-2","Alle Organisationstypen",28,"Alle Expertevaluierungsstatus","-2","-2",1,"-2","Alle",$S50,G$8)</f>
        <v/>
      </c>
      <c r="S50" s="680"/>
      <c r="T50" s="619" t="str">
        <f ca="1">_xll.PALO.DATA("jedoxtest/EU_PM_CUBE02","#_Call","Bezeichnung",$S50)</f>
        <v/>
      </c>
      <c r="U50" s="618">
        <f ca="1">LEN(T50)</f>
        <v>0</v>
      </c>
    </row>
    <row r="51" spans="1:27" s="618" customFormat="1">
      <c r="A51" s="617"/>
      <c r="D51" s="665"/>
      <c r="E51" s="666"/>
      <c r="F51" s="666"/>
      <c r="G51" s="666"/>
      <c r="S51" s="617"/>
      <c r="T51" s="619"/>
    </row>
    <row r="52" spans="1:27" s="618" customFormat="1">
      <c r="A52" s="617"/>
      <c r="D52" s="665"/>
      <c r="E52" s="666"/>
      <c r="F52" s="666"/>
      <c r="G52" s="666"/>
      <c r="S52" s="617"/>
      <c r="T52" s="619"/>
    </row>
    <row r="53" spans="1:27">
      <c r="C53" s="630"/>
      <c r="D53" s="624"/>
      <c r="E53" s="624"/>
      <c r="F53" s="624"/>
      <c r="G53" s="624"/>
      <c r="T53" s="619"/>
    </row>
    <row r="54" spans="1:27" s="618" customFormat="1">
      <c r="C54" s="630"/>
      <c r="D54" s="629"/>
      <c r="E54" s="628" t="s">
        <v>1</v>
      </c>
      <c r="F54" s="628" t="s">
        <v>109</v>
      </c>
      <c r="G54" s="628" t="s">
        <v>3</v>
      </c>
      <c r="S54" s="617"/>
      <c r="T54" s="619"/>
    </row>
    <row r="55" spans="1:27" s="618" customFormat="1">
      <c r="C55" s="61">
        <v>6156</v>
      </c>
      <c r="D55" s="641" t="str">
        <f ca="1">_xll.PALO.DATA("jedoxtest/EU_PM_CUBE02","#_Programme","Langbezeichnung",$C55)</f>
        <v>Marie Skłodowska-Curie Actions (MSCA)</v>
      </c>
      <c r="E55" s="640">
        <f ca="1">_xll.PALO.DATAC("jedoxtest/EU_PM_CUBE02","EUPM_Mittel2_Cube",AT_ExSc_Datenstand,"Alle Beteiligungen","Alle Koordinatoren","Alle Unternehmensgrößen","-2","Alle Organisationstypen",28,"Alle Expertevaluierungsstatus",$C55,"-2",1,"-2","Alle","-2",E$8)</f>
        <v>729</v>
      </c>
      <c r="F55" s="640">
        <f ca="1">_xll.PALO.DATAC("jedoxtest/EU_PM_CUBE02","EUPM_Mittel2_Cube",AT_ExSc_Datenstand,"Alle Beteiligungen","Alle Koordinatoren","Alle Unternehmensgrößen","-2","Alle Organisationstypen",28,"Alle Expertevaluierungsstatus",$C55,"-2",1,"-2","Alle","-2",F$8)</f>
        <v>126069246</v>
      </c>
      <c r="G55" s="640">
        <f ca="1">_xll.PALO.DATAC("jedoxtest/EU_PM_CUBE02","EUPM_Mittel2_Cube",AT_ExSc_Datenstand,"Alle Beteiligungen","Alle Koordinatoren","Alle Unternehmensgrößen","-2","Alle Organisationstypen",28,"Alle Expertevaluierungsstatus",$C55,"-2",1,"-2","Alle","-2",G$8)</f>
        <v>253</v>
      </c>
      <c r="I55" s="625">
        <f ca="1">E57+E64+E71+E79+E86+E91</f>
        <v>729</v>
      </c>
      <c r="J55" s="625" t="b">
        <f ca="1">I55=E55</f>
        <v>1</v>
      </c>
      <c r="Q55" s="625">
        <f>M57+M64+M71+M79+M86+M91</f>
        <v>0</v>
      </c>
      <c r="S55" s="617"/>
      <c r="T55" s="619"/>
    </row>
    <row r="56" spans="1:27" s="618" customFormat="1" hidden="1">
      <c r="A56" s="617" t="b">
        <f ca="1">_xll.PALO.HIDEROW(ISBLANK($A$1))</f>
        <v>1</v>
      </c>
      <c r="D56" s="633"/>
      <c r="E56" s="633"/>
      <c r="F56" s="633"/>
      <c r="G56" s="633"/>
      <c r="S56" s="617"/>
      <c r="T56" s="619" t="s">
        <v>53</v>
      </c>
      <c r="Z56" s="618" t="s">
        <v>363</v>
      </c>
    </row>
    <row r="57" spans="1:27" s="618" customFormat="1">
      <c r="D57" s="638" t="str">
        <f>T57</f>
        <v>MSCA Doctoral Networks</v>
      </c>
      <c r="E57" s="637">
        <f ca="1">SUM(E58:E62)</f>
        <v>310</v>
      </c>
      <c r="F57" s="637">
        <f ca="1">SUM(F58:F62)</f>
        <v>63895799.870000005</v>
      </c>
      <c r="G57" s="637">
        <f ca="1">SUM(G58:G62)</f>
        <v>16</v>
      </c>
      <c r="S57"/>
      <c r="T57" s="619" t="s">
        <v>307</v>
      </c>
      <c r="Y57"/>
      <c r="AA57" s="619" t="str">
        <f ca="1">_xll.PALO.DATA("jedoxtest/EU_PM_CUBE02","#_Call","Bezeichnung",Y57)</f>
        <v/>
      </c>
    </row>
    <row r="58" spans="1:27" s="618" customFormat="1" hidden="1">
      <c r="A58" s="617" t="b">
        <f ca="1">_xll.PALO.HIDEROW(ISBLANK($A$1))</f>
        <v>1</v>
      </c>
      <c r="D58" s="636" t="str">
        <f ca="1">MID(T58,9,U58-8)</f>
        <v>MSCA-2021-DN-01</v>
      </c>
      <c r="E58" s="635">
        <f ca="1">_xll.PALO.DATAC("jedoxtest/EU_PM_CUBE02","EUPM_Mittel2_Cube",AT_ExSc_Datenstand,"Alle Beteiligungen","Alle Koordinatoren","Alle Unternehmensgrößen","-2","Alle Organisationstypen",28,"Alle Expertevaluierungsstatus","-2","-2",1,"-2","Alle",$S58,E$8)</f>
        <v>89</v>
      </c>
      <c r="F58" s="635">
        <f ca="1">_xll.PALO.DATAC("jedoxtest/EU_PM_CUBE02","EUPM_Mittel2_Cube",AT_ExSc_Datenstand,"Alle Beteiligungen","Alle Koordinatoren","Alle Unternehmensgrößen","-2","Alle Organisationstypen",28,"Alle Expertevaluierungsstatus","-2","-2",1,"-2","Alle",$S58,F$8)</f>
        <v>17277700.190000001</v>
      </c>
      <c r="G58" s="635">
        <f ca="1">_xll.PALO.DATAC("jedoxtest/EU_PM_CUBE02","EUPM_Mittel2_Cube",AT_ExSc_Datenstand,"Alle Beteiligungen","Alle Koordinatoren","Alle Unternehmensgrößen","-2","Alle Organisationstypen",28,"Alle Expertevaluierungsstatus","-2","-2",1,"-2","Alle",$S58,G$8)</f>
        <v>2</v>
      </c>
      <c r="S58">
        <v>2645</v>
      </c>
      <c r="T58" s="619" t="str">
        <f ca="1">_xll.PALO.DATA("jedoxtest/EU_PM_CUBE02","#_Call","Bezeichnung",$S58)</f>
        <v>HORIZON-MSCA-2021-DN-01</v>
      </c>
      <c r="U58" s="618">
        <f t="shared" ref="U58:U91" ca="1" si="11">LEN(T58)</f>
        <v>23</v>
      </c>
      <c r="Y58">
        <v>5362</v>
      </c>
      <c r="AA58" s="619" t="str">
        <f ca="1">_xll.PALO.DATA("jedoxtest/EU_PM_CUBE02","#_Call","Bezeichnung",Y58)</f>
        <v>HORIZON-MSCA-2025-CITIZENS-01</v>
      </c>
    </row>
    <row r="59" spans="1:27" s="618" customFormat="1" hidden="1">
      <c r="A59" s="617" t="b">
        <f ca="1">_xll.PALO.HIDEROW(ISBLANK($A$1))</f>
        <v>1</v>
      </c>
      <c r="D59" s="636" t="str">
        <f ca="1">MID(T59,9,U59-8)</f>
        <v>MSCA-2022-DN-01</v>
      </c>
      <c r="E59" s="635">
        <f ca="1">_xll.PALO.DATAC("jedoxtest/EU_PM_CUBE02","EUPM_Mittel2_Cube",AT_ExSc_Datenstand,"Alle Beteiligungen","Alle Koordinatoren","Alle Unternehmensgrößen","-2","Alle Organisationstypen",28,"Alle Expertevaluierungsstatus","-2","-2",1,"-2","Alle",$S59,E$8)</f>
        <v>68</v>
      </c>
      <c r="F59" s="635">
        <f ca="1">_xll.PALO.DATAC("jedoxtest/EU_PM_CUBE02","EUPM_Mittel2_Cube",AT_ExSc_Datenstand,"Alle Beteiligungen","Alle Koordinatoren","Alle Unternehmensgrößen","-2","Alle Organisationstypen",28,"Alle Expertevaluierungsstatus","-2","-2",1,"-2","Alle",$S59,F$8)</f>
        <v>12367651.939999999</v>
      </c>
      <c r="G59" s="635">
        <f ca="1">_xll.PALO.DATAC("jedoxtest/EU_PM_CUBE02","EUPM_Mittel2_Cube",AT_ExSc_Datenstand,"Alle Beteiligungen","Alle Koordinatoren","Alle Unternehmensgrößen","-2","Alle Organisationstypen",28,"Alle Expertevaluierungsstatus","-2","-2",1,"-2","Alle",$S59,G$8)</f>
        <v>6</v>
      </c>
      <c r="S59">
        <v>2888</v>
      </c>
      <c r="T59" s="619" t="str">
        <f ca="1">_xll.PALO.DATA("jedoxtest/EU_PM_CUBE02","#_Call","Bezeichnung",$S59)</f>
        <v>HORIZON-MSCA-2022-DN-01</v>
      </c>
      <c r="U59" s="618">
        <f t="shared" ca="1" si="11"/>
        <v>23</v>
      </c>
      <c r="Y59"/>
      <c r="AA59" s="619" t="str">
        <f ca="1">_xll.PALO.DATA("jedoxtest/EU_PM_CUBE02","#_Call","Bezeichnung",Y59)</f>
        <v/>
      </c>
    </row>
    <row r="60" spans="1:27" s="618" customFormat="1" hidden="1">
      <c r="A60" s="617" t="b">
        <f ca="1">_xll.PALO.HIDEROW(ISBLANK($A$1))</f>
        <v>1</v>
      </c>
      <c r="D60" s="636" t="str">
        <f ca="1">MID(T60,9,U60-8)</f>
        <v>MSCA-2023-DN-01</v>
      </c>
      <c r="E60" s="635">
        <f ca="1">_xll.PALO.DATAC("jedoxtest/EU_PM_CUBE02","EUPM_Mittel2_Cube",AT_ExSc_Datenstand,"Alle Beteiligungen","Alle Koordinatoren","Alle Unternehmensgrößen","-2","Alle Organisationstypen",28,"Alle Expertevaluierungsstatus","-2","-2",1,"-2","Alle",$S60,E$8)</f>
        <v>67</v>
      </c>
      <c r="F60" s="635">
        <f ca="1">_xll.PALO.DATAC("jedoxtest/EU_PM_CUBE02","EUPM_Mittel2_Cube",AT_ExSc_Datenstand,"Alle Beteiligungen","Alle Koordinatoren","Alle Unternehmensgrößen","-2","Alle Organisationstypen",28,"Alle Expertevaluierungsstatus","-2","-2",1,"-2","Alle",$S60,F$8)</f>
        <v>12908314.539999999</v>
      </c>
      <c r="G60" s="635">
        <f ca="1">_xll.PALO.DATAC("jedoxtest/EU_PM_CUBE02","EUPM_Mittel2_Cube",AT_ExSc_Datenstand,"Alle Beteiligungen","Alle Koordinatoren","Alle Unternehmensgrößen","-2","Alle Organisationstypen",28,"Alle Expertevaluierungsstatus","-2","-2",1,"-2","Alle",$S60,G$8)</f>
        <v>2</v>
      </c>
      <c r="S60">
        <v>3080</v>
      </c>
      <c r="T60" s="619" t="str">
        <f ca="1">_xll.PALO.DATA("jedoxtest/EU_PM_CUBE02","#_Call","Bezeichnung",$S60)</f>
        <v>HORIZON-MSCA-2023-DN-01</v>
      </c>
      <c r="U60" s="618">
        <f t="shared" ca="1" si="11"/>
        <v>23</v>
      </c>
      <c r="Y60">
        <v>5307</v>
      </c>
      <c r="AA60" s="619" t="str">
        <f ca="1">_xll.PALO.DATA("jedoxtest/EU_PM_CUBE02","#_Call","Bezeichnung",Y60)</f>
        <v>HORIZON-MSCA-2025-COFUND-01</v>
      </c>
    </row>
    <row r="61" spans="1:27" s="618" customFormat="1" hidden="1">
      <c r="A61" s="617" t="b">
        <f ca="1">_xll.PALO.HIDEROW(ISBLANK($A$1))</f>
        <v>1</v>
      </c>
      <c r="D61" s="636" t="str">
        <f ca="1">MID(T61,9,U61-8)</f>
        <v>MSCA-2024-DN-01</v>
      </c>
      <c r="E61" s="635">
        <f ca="1">_xll.PALO.DATAC("jedoxtest/EU_PM_CUBE02","EUPM_Mittel2_Cube",AT_ExSc_Datenstand,"Alle Beteiligungen","Alle Koordinatoren","Alle Unternehmensgrößen","-2","Alle Organisationstypen",28,"Alle Expertevaluierungsstatus","-2","-2",1,"-2","Alle",$S61,E$8)</f>
        <v>86</v>
      </c>
      <c r="F61" s="635">
        <f ca="1">_xll.PALO.DATAC("jedoxtest/EU_PM_CUBE02","EUPM_Mittel2_Cube",AT_ExSc_Datenstand,"Alle Beteiligungen","Alle Koordinatoren","Alle Unternehmensgrößen","-2","Alle Organisationstypen",28,"Alle Expertevaluierungsstatus","-2","-2",1,"-2","Alle",$S61,F$8)</f>
        <v>21342133.199999999</v>
      </c>
      <c r="G61" s="635">
        <f ca="1">_xll.PALO.DATAC("jedoxtest/EU_PM_CUBE02","EUPM_Mittel2_Cube",AT_ExSc_Datenstand,"Alle Beteiligungen","Alle Koordinatoren","Alle Unternehmensgrößen","-2","Alle Organisationstypen",28,"Alle Expertevaluierungsstatus","-2","-2",1,"-2","Alle",$S61,G$8)</f>
        <v>6</v>
      </c>
      <c r="S61" s="664">
        <v>5212</v>
      </c>
      <c r="T61" s="619" t="str">
        <f ca="1">_xll.PALO.DATA("jedoxtest/EU_PM_CUBE02","#_Call","Bezeichnung",$S61)</f>
        <v>HORIZON-MSCA-2024-DN-01</v>
      </c>
      <c r="U61" s="618">
        <f t="shared" ref="U61" ca="1" si="12">LEN(T61)</f>
        <v>23</v>
      </c>
      <c r="Y61">
        <v>5337</v>
      </c>
      <c r="AA61" s="619" t="str">
        <f ca="1">_xll.PALO.DATA("jedoxtest/EU_PM_CUBE02","#_Call","Bezeichnung",Y61)</f>
        <v>ERC-2025-COG</v>
      </c>
    </row>
    <row r="62" spans="1:27" s="618" customFormat="1" hidden="1">
      <c r="A62" s="617" t="b">
        <f ca="1">_xll.PALO.HIDEROW(ISBLANK($A$1))</f>
        <v>1</v>
      </c>
      <c r="D62" s="636" t="e">
        <f>MID(T62,9,U62-8)</f>
        <v>#VALUE!</v>
      </c>
      <c r="E62" s="635" t="str">
        <f ca="1">_xll.PALO.DATAC("jedoxtest/EU_PM_CUBE02","EUPM_Mittel2_Cube",AT_ExSc_Datenstand,"Alle Beteiligungen","Alle Koordinatoren","Alle Unternehmensgrößen","-2","Alle Organisationstypen",28,"Alle Expertevaluierungsstatus","-2","-2",1,"-2","Alle",$S62,E$8)</f>
        <v/>
      </c>
      <c r="F62" s="635" t="str">
        <f ca="1">_xll.PALO.DATAC("jedoxtest/EU_PM_CUBE02","EUPM_Mittel2_Cube",AT_ExSc_Datenstand,"Alle Beteiligungen","Alle Koordinatoren","Alle Unternehmensgrößen","-2","Alle Organisationstypen",28,"Alle Expertevaluierungsstatus","-2","-2",1,"-2","Alle",$S62,F$8)</f>
        <v/>
      </c>
      <c r="G62" s="635" t="str">
        <f ca="1">_xll.PALO.DATAC("jedoxtest/EU_PM_CUBE02","EUPM_Mittel2_Cube",AT_ExSc_Datenstand,"Alle Beteiligungen","Alle Koordinatoren","Alle Unternehmensgrößen","-2","Alle Organisationstypen",28,"Alle Expertevaluierungsstatus","-2","-2",1,"-2","Alle",$S62,G$8)</f>
        <v/>
      </c>
      <c r="S62"/>
      <c r="T62" s="619"/>
      <c r="U62" s="618">
        <f t="shared" si="11"/>
        <v>0</v>
      </c>
      <c r="Y62"/>
      <c r="AA62" s="619" t="str">
        <f ca="1">_xll.PALO.DATA("jedoxtest/EU_PM_CUBE02","#_Call","Bezeichnung",Y62)</f>
        <v/>
      </c>
    </row>
    <row r="63" spans="1:27" s="618" customFormat="1" hidden="1">
      <c r="A63" s="617" t="b">
        <f ca="1">_xll.PALO.HIDEROW(ISBLANK($A$1))</f>
        <v>1</v>
      </c>
      <c r="D63" s="634"/>
      <c r="E63" s="633"/>
      <c r="F63" s="633"/>
      <c r="G63" s="633"/>
      <c r="S63"/>
      <c r="T63" s="619"/>
      <c r="U63" s="618">
        <f t="shared" si="11"/>
        <v>0</v>
      </c>
      <c r="Y63"/>
      <c r="AA63" s="619" t="str">
        <f ca="1">_xll.PALO.DATA("jedoxtest/EU_PM_CUBE02","#_Call","Bezeichnung",Y63)</f>
        <v/>
      </c>
    </row>
    <row r="64" spans="1:27" s="618" customFormat="1">
      <c r="D64" s="638" t="str">
        <f>T64</f>
        <v>MSCA Postdoctoral Fellowships</v>
      </c>
      <c r="E64" s="637">
        <f ca="1">SUM(E65:E69)</f>
        <v>282</v>
      </c>
      <c r="F64" s="637">
        <f ca="1">SUM(F65:F69)</f>
        <v>46818582.299999997</v>
      </c>
      <c r="G64" s="637">
        <f ca="1">SUM(G65:G69)</f>
        <v>225</v>
      </c>
      <c r="S64"/>
      <c r="T64" s="619" t="s">
        <v>308</v>
      </c>
      <c r="U64" s="618">
        <f t="shared" si="11"/>
        <v>29</v>
      </c>
      <c r="Y64">
        <v>3031</v>
      </c>
      <c r="AA64" s="619" t="str">
        <f ca="1">_xll.PALO.DATA("jedoxtest/EU_PM_CUBE02","#_Call","Bezeichnung",Y64)</f>
        <v>HORIZON-INFRA-2024-ICRI-IBA</v>
      </c>
    </row>
    <row r="65" spans="1:27" s="618" customFormat="1" hidden="1">
      <c r="A65" s="617" t="b">
        <f ca="1">_xll.PALO.HIDEROW(ISBLANK($A$1))</f>
        <v>1</v>
      </c>
      <c r="D65" s="636" t="str">
        <f ca="1">MID(T65,9,U65-8)</f>
        <v>MSCA-2021-PF-01</v>
      </c>
      <c r="E65" s="635">
        <f ca="1">_xll.PALO.DATAC("jedoxtest/EU_PM_CUBE02","EUPM_Mittel2_Cube",AT_ExSc_Datenstand,"Alle Beteiligungen","Alle Koordinatoren","Alle Unternehmensgrößen","-2","Alle Organisationstypen",28,"Alle Expertevaluierungsstatus","-2","-2",1,"-2","Alle",$S65,E$8)</f>
        <v>49</v>
      </c>
      <c r="F65" s="635">
        <f ca="1">_xll.PALO.DATAC("jedoxtest/EU_PM_CUBE02","EUPM_Mittel2_Cube",AT_ExSc_Datenstand,"Alle Beteiligungen","Alle Koordinatoren","Alle Unternehmensgrößen","-2","Alle Organisationstypen",28,"Alle Expertevaluierungsstatus","-2","-2",1,"-2","Alle",$S65,F$8)</f>
        <v>7706900.96</v>
      </c>
      <c r="G65" s="635">
        <f ca="1">_xll.PALO.DATAC("jedoxtest/EU_PM_CUBE02","EUPM_Mittel2_Cube",AT_ExSc_Datenstand,"Alle Beteiligungen","Alle Koordinatoren","Alle Unternehmensgrößen","-2","Alle Organisationstypen",28,"Alle Expertevaluierungsstatus","-2","-2",1,"-2","Alle",$S65,G$8)</f>
        <v>39</v>
      </c>
      <c r="S65">
        <v>2646</v>
      </c>
      <c r="T65" s="619" t="str">
        <f ca="1">_xll.PALO.DATA("jedoxtest/EU_PM_CUBE02","#_Call","Bezeichnung",$S65)</f>
        <v>HORIZON-MSCA-2021-PF-01</v>
      </c>
      <c r="U65" s="618">
        <f t="shared" ca="1" si="11"/>
        <v>23</v>
      </c>
      <c r="Y65"/>
      <c r="AA65" s="619" t="str">
        <f ca="1">_xll.PALO.DATA("jedoxtest/EU_PM_CUBE02","#_Call","Bezeichnung",Y65)</f>
        <v/>
      </c>
    </row>
    <row r="66" spans="1:27" s="618" customFormat="1" hidden="1">
      <c r="A66" s="617" t="b">
        <f ca="1">_xll.PALO.HIDEROW(ISBLANK($A$1))</f>
        <v>1</v>
      </c>
      <c r="D66" s="636" t="str">
        <f ca="1">MID(T66,9,U66-8)</f>
        <v>MSCA-2022-PF-01</v>
      </c>
      <c r="E66" s="635">
        <f ca="1">_xll.PALO.DATAC("jedoxtest/EU_PM_CUBE02","EUPM_Mittel2_Cube",AT_ExSc_Datenstand,"Alle Beteiligungen","Alle Koordinatoren","Alle Unternehmensgrößen","-2","Alle Organisationstypen",28,"Alle Expertevaluierungsstatus","-2","-2",1,"-2","Alle",$S66,E$8)</f>
        <v>55</v>
      </c>
      <c r="F66" s="635">
        <f ca="1">_xll.PALO.DATAC("jedoxtest/EU_PM_CUBE02","EUPM_Mittel2_Cube",AT_ExSc_Datenstand,"Alle Beteiligungen","Alle Koordinatoren","Alle Unternehmensgrößen","-2","Alle Organisationstypen",28,"Alle Expertevaluierungsstatus","-2","-2",1,"-2","Alle",$S66,F$8)</f>
        <v>8798625.6500000004</v>
      </c>
      <c r="G66" s="635">
        <f ca="1">_xll.PALO.DATAC("jedoxtest/EU_PM_CUBE02","EUPM_Mittel2_Cube",AT_ExSc_Datenstand,"Alle Beteiligungen","Alle Koordinatoren","Alle Unternehmensgrößen","-2","Alle Organisationstypen",28,"Alle Expertevaluierungsstatus","-2","-2",1,"-2","Alle",$S66,G$8)</f>
        <v>45</v>
      </c>
      <c r="S66">
        <v>2889</v>
      </c>
      <c r="T66" s="619" t="str">
        <f ca="1">_xll.PALO.DATA("jedoxtest/EU_PM_CUBE02","#_Call","Bezeichnung",$S66)</f>
        <v>HORIZON-MSCA-2022-PF-01</v>
      </c>
      <c r="U66" s="618">
        <f t="shared" ca="1" si="11"/>
        <v>23</v>
      </c>
      <c r="Y66"/>
    </row>
    <row r="67" spans="1:27" s="618" customFormat="1" hidden="1">
      <c r="A67" s="617" t="b">
        <f ca="1">_xll.PALO.HIDEROW(ISBLANK($A$1))</f>
        <v>1</v>
      </c>
      <c r="D67" s="636" t="str">
        <f ca="1">MID(T67,9,U67-8)</f>
        <v>MSCA-2023-PF-01</v>
      </c>
      <c r="E67" s="635">
        <f ca="1">_xll.PALO.DATAC("jedoxtest/EU_PM_CUBE02","EUPM_Mittel2_Cube",AT_ExSc_Datenstand,"Alle Beteiligungen","Alle Koordinatoren","Alle Unternehmensgrößen","-2","Alle Organisationstypen",28,"Alle Expertevaluierungsstatus","-2","-2",1,"-2","Alle",$S67,E$8)</f>
        <v>57</v>
      </c>
      <c r="F67" s="635">
        <f ca="1">_xll.PALO.DATAC("jedoxtest/EU_PM_CUBE02","EUPM_Mittel2_Cube",AT_ExSc_Datenstand,"Alle Beteiligungen","Alle Koordinatoren","Alle Unternehmensgrößen","-2","Alle Organisationstypen",28,"Alle Expertevaluierungsstatus","-2","-2",1,"-2","Alle",$S67,F$8)</f>
        <v>9229366.0999999996</v>
      </c>
      <c r="G67" s="635">
        <f ca="1">_xll.PALO.DATAC("jedoxtest/EU_PM_CUBE02","EUPM_Mittel2_Cube",AT_ExSc_Datenstand,"Alle Beteiligungen","Alle Koordinatoren","Alle Unternehmensgrößen","-2","Alle Organisationstypen",28,"Alle Expertevaluierungsstatus","-2","-2",1,"-2","Alle",$S67,G$8)</f>
        <v>48</v>
      </c>
      <c r="S67">
        <v>3081</v>
      </c>
      <c r="T67" s="619" t="str">
        <f ca="1">_xll.PALO.DATA("jedoxtest/EU_PM_CUBE02","#_Call","Bezeichnung",$S67)</f>
        <v>HORIZON-MSCA-2023-PF-01</v>
      </c>
      <c r="U67" s="618">
        <f t="shared" ca="1" si="11"/>
        <v>23</v>
      </c>
      <c r="Y67"/>
    </row>
    <row r="68" spans="1:27" s="618" customFormat="1" hidden="1">
      <c r="A68" s="617" t="b">
        <f ca="1">_xll.PALO.HIDEROW(ISBLANK($A$1))</f>
        <v>1</v>
      </c>
      <c r="D68" s="636" t="str">
        <f ca="1">MID(T68,9,U68-8)</f>
        <v>MSCA-2024-PF-01</v>
      </c>
      <c r="E68" s="635">
        <f ca="1">_xll.PALO.DATAC("jedoxtest/EU_PM_CUBE02","EUPM_Mittel2_Cube",AT_ExSc_Datenstand,"Alle Beteiligungen","Alle Koordinatoren","Alle Unternehmensgrößen","-2","Alle Organisationstypen",28,"Alle Expertevaluierungsstatus","-2","-2",1,"-2","Alle",$S68,E$8)</f>
        <v>55</v>
      </c>
      <c r="F68" s="635">
        <f ca="1">_xll.PALO.DATAC("jedoxtest/EU_PM_CUBE02","EUPM_Mittel2_Cube",AT_ExSc_Datenstand,"Alle Beteiligungen","Alle Koordinatoren","Alle Unternehmensgrößen","-2","Alle Organisationstypen",28,"Alle Expertevaluierungsstatus","-2","-2",1,"-2","Alle",$S68,F$8)</f>
        <v>9463099.1500000004</v>
      </c>
      <c r="G68" s="635">
        <f ca="1">_xll.PALO.DATAC("jedoxtest/EU_PM_CUBE02","EUPM_Mittel2_Cube",AT_ExSc_Datenstand,"Alle Beteiligungen","Alle Koordinatoren","Alle Unternehmensgrößen","-2","Alle Organisationstypen",28,"Alle Expertevaluierungsstatus","-2","-2",1,"-2","Alle",$S68,G$8)</f>
        <v>42</v>
      </c>
      <c r="S68" s="664">
        <v>5213</v>
      </c>
      <c r="T68" s="619" t="str">
        <f ca="1">_xll.PALO.DATA("jedoxtest/EU_PM_CUBE02","#_Call","Bezeichnung",$S68)</f>
        <v>HORIZON-MSCA-2024-PF-01</v>
      </c>
      <c r="U68" s="618">
        <f t="shared" ca="1" si="11"/>
        <v>23</v>
      </c>
      <c r="Y68"/>
    </row>
    <row r="69" spans="1:27" s="618" customFormat="1" hidden="1">
      <c r="A69" s="617" t="b">
        <f ca="1">_xll.PALO.HIDEROW(ISBLANK($A$1))</f>
        <v>1</v>
      </c>
      <c r="D69" s="636" t="str">
        <f ca="1">MID(T69,9,U69-8)</f>
        <v>MSCA-2025-PF</v>
      </c>
      <c r="E69" s="635">
        <f ca="1">_xll.PALO.DATAC("jedoxtest/EU_PM_CUBE02","EUPM_Mittel2_Cube",AT_ExSc_Datenstand,"Alle Beteiligungen","Alle Koordinatoren","Alle Unternehmensgrößen","-2","Alle Organisationstypen",28,"Alle Expertevaluierungsstatus","-2","-2",1,"-2","Alle",$S69,E$8)</f>
        <v>66</v>
      </c>
      <c r="F69" s="635">
        <f ca="1">_xll.PALO.DATAC("jedoxtest/EU_PM_CUBE02","EUPM_Mittel2_Cube",AT_ExSc_Datenstand,"Alle Beteiligungen","Alle Koordinatoren","Alle Unternehmensgrößen","-2","Alle Organisationstypen",28,"Alle Expertevaluierungsstatus","-2","-2",1,"-2","Alle",$S69,F$8)</f>
        <v>11620590.439999999</v>
      </c>
      <c r="G69" s="635">
        <f ca="1">_xll.PALO.DATAC("jedoxtest/EU_PM_CUBE02","EUPM_Mittel2_Cube",AT_ExSc_Datenstand,"Alle Beteiligungen","Alle Koordinatoren","Alle Unternehmensgrößen","-2","Alle Organisationstypen",28,"Alle Expertevaluierungsstatus","-2","-2",1,"-2","Alle",$S69,G$8)</f>
        <v>51</v>
      </c>
      <c r="S69">
        <v>5365</v>
      </c>
      <c r="T69" s="619" t="str">
        <f ca="1">_xll.PALO.DATA("jedoxtest/EU_PM_CUBE02","#_Call","Bezeichnung",$S69)</f>
        <v>HORIZON-MSCA-2025-PF</v>
      </c>
      <c r="U69" s="618">
        <f t="shared" ref="U69" ca="1" si="13">LEN(T69)</f>
        <v>20</v>
      </c>
      <c r="Y69"/>
    </row>
    <row r="70" spans="1:27" s="618" customFormat="1" hidden="1">
      <c r="A70" s="617" t="b">
        <f ca="1">_xll.PALO.HIDEROW(ISBLANK($A$1))</f>
        <v>1</v>
      </c>
      <c r="D70" s="634"/>
      <c r="E70" s="633"/>
      <c r="F70" s="633"/>
      <c r="G70" s="633"/>
      <c r="S70"/>
      <c r="T70" s="619"/>
      <c r="U70" s="618">
        <f t="shared" si="11"/>
        <v>0</v>
      </c>
      <c r="Y70"/>
    </row>
    <row r="71" spans="1:27" s="618" customFormat="1">
      <c r="D71" s="638" t="str">
        <f>T71</f>
        <v>MSCA Staff Exchanges</v>
      </c>
      <c r="E71" s="637">
        <f ca="1">SUM(E72:E75)</f>
        <v>59</v>
      </c>
      <c r="F71" s="637">
        <f ca="1">SUM(F72:F75)</f>
        <v>5819790</v>
      </c>
      <c r="G71" s="637">
        <f ca="1">SUM(G72:G75)</f>
        <v>4</v>
      </c>
      <c r="S71"/>
      <c r="T71" s="619" t="s">
        <v>309</v>
      </c>
      <c r="U71" s="618">
        <f t="shared" si="11"/>
        <v>20</v>
      </c>
    </row>
    <row r="72" spans="1:27" s="618" customFormat="1" hidden="1">
      <c r="A72" s="617" t="b">
        <f ca="1">_xll.PALO.HIDEROW(ISBLANK($A$1))</f>
        <v>1</v>
      </c>
      <c r="D72" s="636" t="str">
        <f ca="1">MID(T72,9,U72-8)</f>
        <v>MSCA-2021-SE-01</v>
      </c>
      <c r="E72" s="635">
        <f ca="1">_xll.PALO.DATAC("jedoxtest/EU_PM_CUBE02","EUPM_Mittel2_Cube",AT_ExSc_Datenstand,"Alle Beteiligungen","Alle Koordinatoren","Alle Unternehmensgrößen","-2","Alle Organisationstypen",28,"Alle Expertevaluierungsstatus","-2","-2",1,"-2","Alle",$S72,E$8)</f>
        <v>20</v>
      </c>
      <c r="F72" s="635">
        <f ca="1">_xll.PALO.DATAC("jedoxtest/EU_PM_CUBE02","EUPM_Mittel2_Cube",AT_ExSc_Datenstand,"Alle Beteiligungen","Alle Koordinatoren","Alle Unternehmensgrößen","-2","Alle Organisationstypen",28,"Alle Expertevaluierungsstatus","-2","-2",1,"-2","Alle",$S72,F$8)</f>
        <v>1062600</v>
      </c>
      <c r="G72" s="635">
        <f ca="1">_xll.PALO.DATAC("jedoxtest/EU_PM_CUBE02","EUPM_Mittel2_Cube",AT_ExSc_Datenstand,"Alle Beteiligungen","Alle Koordinatoren","Alle Unternehmensgrößen","-2","Alle Organisationstypen",28,"Alle Expertevaluierungsstatus","-2","-2",1,"-2","Alle",$S72,G$8)</f>
        <v>0</v>
      </c>
      <c r="S72">
        <v>2791</v>
      </c>
      <c r="T72" s="619" t="str">
        <f ca="1">_xll.PALO.DATA("jedoxtest/EU_PM_CUBE02","#_Call","Bezeichnung",$S72)</f>
        <v>HORIZON-MSCA-2021-SE-01</v>
      </c>
      <c r="U72" s="618">
        <f t="shared" ca="1" si="11"/>
        <v>23</v>
      </c>
    </row>
    <row r="73" spans="1:27" s="618" customFormat="1" hidden="1">
      <c r="A73" s="617" t="b">
        <f ca="1">_xll.PALO.HIDEROW(ISBLANK($A$1))</f>
        <v>1</v>
      </c>
      <c r="D73" s="636" t="str">
        <f ca="1">MID(T73,9,U73-8)</f>
        <v>MSCA-2022-SE-01</v>
      </c>
      <c r="E73" s="635">
        <f ca="1">_xll.PALO.DATAC("jedoxtest/EU_PM_CUBE02","EUPM_Mittel2_Cube",AT_ExSc_Datenstand,"Alle Beteiligungen","Alle Koordinatoren","Alle Unternehmensgrößen","-2","Alle Organisationstypen",28,"Alle Expertevaluierungsstatus","-2","-2",1,"-2","Alle",$S73,E$8)</f>
        <v>15</v>
      </c>
      <c r="F73" s="635">
        <f ca="1">_xll.PALO.DATAC("jedoxtest/EU_PM_CUBE02","EUPM_Mittel2_Cube",AT_ExSc_Datenstand,"Alle Beteiligungen","Alle Koordinatoren","Alle Unternehmensgrößen","-2","Alle Organisationstypen",28,"Alle Expertevaluierungsstatus","-2","-2",1,"-2","Alle",$S73,F$8)</f>
        <v>2290800</v>
      </c>
      <c r="G73" s="635">
        <f ca="1">_xll.PALO.DATAC("jedoxtest/EU_PM_CUBE02","EUPM_Mittel2_Cube",AT_ExSc_Datenstand,"Alle Beteiligungen","Alle Koordinatoren","Alle Unternehmensgrößen","-2","Alle Organisationstypen",28,"Alle Expertevaluierungsstatus","-2","-2",1,"-2","Alle",$S73,G$8)</f>
        <v>2</v>
      </c>
      <c r="S73">
        <v>2948</v>
      </c>
      <c r="T73" s="619" t="str">
        <f ca="1">_xll.PALO.DATA("jedoxtest/EU_PM_CUBE02","#_Call","Bezeichnung",$S73)</f>
        <v>HORIZON-MSCA-2022-SE-01</v>
      </c>
      <c r="U73" s="618">
        <f t="shared" ca="1" si="11"/>
        <v>23</v>
      </c>
    </row>
    <row r="74" spans="1:27" s="618" customFormat="1" hidden="1">
      <c r="A74" s="617" t="b">
        <f ca="1">_xll.PALO.HIDEROW(ISBLANK($A$1))</f>
        <v>1</v>
      </c>
      <c r="D74" s="636" t="str">
        <f ca="1">MID(T74,9,U74-8)</f>
        <v>MSCA-2023-SE-01</v>
      </c>
      <c r="E74" s="635">
        <f ca="1">_xll.PALO.DATAC("jedoxtest/EU_PM_CUBE02","EUPM_Mittel2_Cube",AT_ExSc_Datenstand,"Alle Beteiligungen","Alle Koordinatoren","Alle Unternehmensgrößen","-2","Alle Organisationstypen",28,"Alle Expertevaluierungsstatus","-2","-2",1,"-2","Alle",$S74,E$8)</f>
        <v>17</v>
      </c>
      <c r="F74" s="635">
        <f ca="1">_xll.PALO.DATAC("jedoxtest/EU_PM_CUBE02","EUPM_Mittel2_Cube",AT_ExSc_Datenstand,"Alle Beteiligungen","Alle Koordinatoren","Alle Unternehmensgrößen","-2","Alle Organisationstypen",28,"Alle Expertevaluierungsstatus","-2","-2",1,"-2","Alle",$S74,F$8)</f>
        <v>1669800</v>
      </c>
      <c r="G74" s="635">
        <f ca="1">_xll.PALO.DATAC("jedoxtest/EU_PM_CUBE02","EUPM_Mittel2_Cube",AT_ExSc_Datenstand,"Alle Beteiligungen","Alle Koordinatoren","Alle Unternehmensgrößen","-2","Alle Organisationstypen",28,"Alle Expertevaluierungsstatus","-2","-2",1,"-2","Alle",$S74,G$8)</f>
        <v>2</v>
      </c>
      <c r="S74">
        <v>3082</v>
      </c>
      <c r="T74" s="619" t="str">
        <f ca="1">_xll.PALO.DATA("jedoxtest/EU_PM_CUBE02","#_Call","Bezeichnung",$S74)</f>
        <v>HORIZON-MSCA-2023-SE-01</v>
      </c>
      <c r="U74" s="618">
        <f t="shared" ca="1" si="11"/>
        <v>23</v>
      </c>
    </row>
    <row r="75" spans="1:27" s="618" customFormat="1" hidden="1">
      <c r="A75" s="617" t="b">
        <f ca="1">_xll.PALO.HIDEROW(ISBLANK($A$1))</f>
        <v>1</v>
      </c>
      <c r="D75" s="636" t="str">
        <f ca="1">MID(T75,9,U75-8)</f>
        <v>MSCA-2025-SE-01</v>
      </c>
      <c r="E75" s="635">
        <f ca="1">_xll.PALO.DATAC("jedoxtest/EU_PM_CUBE02","EUPM_Mittel2_Cube",AT_ExSc_Datenstand,"Alle Beteiligungen","Alle Koordinatoren","Alle Unternehmensgrößen","-2","Alle Organisationstypen",28,"Alle Expertevaluierungsstatus","-2","-2",1,"-2","Alle",$S75,E$8)</f>
        <v>7</v>
      </c>
      <c r="F75" s="635">
        <f ca="1">_xll.PALO.DATAC("jedoxtest/EU_PM_CUBE02","EUPM_Mittel2_Cube",AT_ExSc_Datenstand,"Alle Beteiligungen","Alle Koordinatoren","Alle Unternehmensgrößen","-2","Alle Organisationstypen",28,"Alle Expertevaluierungsstatus","-2","-2",1,"-2","Alle",$S75,F$8)</f>
        <v>796590</v>
      </c>
      <c r="G75" s="635">
        <f ca="1">_xll.PALO.DATAC("jedoxtest/EU_PM_CUBE02","EUPM_Mittel2_Cube",AT_ExSc_Datenstand,"Alle Beteiligungen","Alle Koordinatoren","Alle Unternehmensgrößen","-2","Alle Organisationstypen",28,"Alle Expertevaluierungsstatus","-2","-2",1,"-2","Alle",$S75,G$8)</f>
        <v>0</v>
      </c>
      <c r="S75">
        <v>5331</v>
      </c>
      <c r="T75" s="619" t="str">
        <f ca="1">_xll.PALO.DATA("jedoxtest/EU_PM_CUBE02","#_Call","Bezeichnung",$S75)</f>
        <v>HORIZON-MSCA-2025-SE-01</v>
      </c>
      <c r="U75" s="618">
        <f t="shared" ca="1" si="11"/>
        <v>23</v>
      </c>
    </row>
    <row r="76" spans="1:27" s="618" customFormat="1" hidden="1">
      <c r="A76" s="617" t="b">
        <f ca="1">_xll.PALO.HIDEROW(ISBLANK($A$1))</f>
        <v>1</v>
      </c>
      <c r="D76" s="639"/>
      <c r="E76" s="635"/>
      <c r="F76" s="635"/>
      <c r="G76" s="635"/>
      <c r="S76" s="617"/>
      <c r="T76" s="619"/>
      <c r="U76" s="618">
        <f t="shared" si="11"/>
        <v>0</v>
      </c>
    </row>
    <row r="77" spans="1:27" s="618" customFormat="1" hidden="1">
      <c r="A77" s="617" t="b">
        <f ca="1">_xll.PALO.HIDEROW(ISBLANK($A$1))</f>
        <v>1</v>
      </c>
      <c r="D77" s="639"/>
      <c r="E77" s="635"/>
      <c r="F77" s="635"/>
      <c r="G77" s="635"/>
      <c r="S77" s="617"/>
      <c r="T77" s="619"/>
      <c r="U77" s="618">
        <f t="shared" si="11"/>
        <v>0</v>
      </c>
      <c r="Y77"/>
    </row>
    <row r="78" spans="1:27" s="618" customFormat="1" hidden="1">
      <c r="A78" s="617" t="b">
        <f ca="1">_xll.PALO.HIDEROW(ISBLANK($A$1))</f>
        <v>1</v>
      </c>
      <c r="D78" s="639"/>
      <c r="E78" s="635"/>
      <c r="F78" s="635"/>
      <c r="G78" s="635"/>
      <c r="S78" s="617"/>
      <c r="T78" s="619"/>
      <c r="U78" s="618">
        <f t="shared" si="11"/>
        <v>0</v>
      </c>
      <c r="Y78"/>
    </row>
    <row r="79" spans="1:27" s="618" customFormat="1">
      <c r="D79" s="638" t="str">
        <f>T79</f>
        <v>MSCA COFUND</v>
      </c>
      <c r="E79" s="637">
        <f ca="1">SUM(E80:E84)</f>
        <v>39</v>
      </c>
      <c r="F79" s="637">
        <f ca="1">SUM(F80:F84)</f>
        <v>6552000</v>
      </c>
      <c r="G79" s="637">
        <f ca="1">SUM(G80:G84)</f>
        <v>3</v>
      </c>
      <c r="S79" s="617"/>
      <c r="T79" s="619" t="s">
        <v>310</v>
      </c>
      <c r="U79" s="618">
        <f t="shared" si="11"/>
        <v>11</v>
      </c>
      <c r="Y79"/>
    </row>
    <row r="80" spans="1:27" s="618" customFormat="1" hidden="1">
      <c r="A80" s="617" t="b">
        <f ca="1">_xll.PALO.HIDEROW(ISBLANK($A$1))</f>
        <v>1</v>
      </c>
      <c r="D80" s="636" t="str">
        <f ca="1">MID(T80,9,U80-8)</f>
        <v>MSCA-2021-COFUND-01</v>
      </c>
      <c r="E80" s="635">
        <f ca="1">_xll.PALO.DATAC("jedoxtest/EU_PM_CUBE02","EUPM_Mittel2_Cube",AT_ExSc_Datenstand,"Alle Beteiligungen","Alle Koordinatoren","Alle Unternehmensgrößen","-2","Alle Organisationstypen",28,"Alle Expertevaluierungsstatus","-2","-2",1,"-2","Alle",$S80,E$8)</f>
        <v>9</v>
      </c>
      <c r="F80" s="635">
        <f ca="1">_xll.PALO.DATAC("jedoxtest/EU_PM_CUBE02","EUPM_Mittel2_Cube",AT_ExSc_Datenstand,"Alle Beteiligungen","Alle Koordinatoren","Alle Unternehmensgrößen","-2","Alle Organisationstypen",28,"Alle Expertevaluierungsstatus","-2","-2",1,"-2","Alle",$S80,F$8)</f>
        <v>0</v>
      </c>
      <c r="G80" s="635">
        <f ca="1">_xll.PALO.DATAC("jedoxtest/EU_PM_CUBE02","EUPM_Mittel2_Cube",AT_ExSc_Datenstand,"Alle Beteiligungen","Alle Koordinatoren","Alle Unternehmensgrößen","-2","Alle Organisationstypen",28,"Alle Expertevaluierungsstatus","-2","-2",1,"-2","Alle",$S80,G$8)</f>
        <v>0</v>
      </c>
      <c r="S80" s="617">
        <v>2790</v>
      </c>
      <c r="T80" s="619" t="str">
        <f ca="1">_xll.PALO.DATA("jedoxtest/EU_PM_CUBE02","#_Call","Bezeichnung",$S80)</f>
        <v>HORIZON-MSCA-2021-COFUND-01</v>
      </c>
      <c r="U80" s="618">
        <f t="shared" ca="1" si="11"/>
        <v>27</v>
      </c>
      <c r="Y80"/>
    </row>
    <row r="81" spans="1:25" s="618" customFormat="1" hidden="1">
      <c r="A81" s="617" t="b">
        <f ca="1">_xll.PALO.HIDEROW(ISBLANK($A$1))</f>
        <v>1</v>
      </c>
      <c r="D81" s="636" t="str">
        <f ca="1">MID(T81,9,U81-8)</f>
        <v>MSCA-2022-COFUND-01</v>
      </c>
      <c r="E81" s="635">
        <f ca="1">_xll.PALO.DATAC("jedoxtest/EU_PM_CUBE02","EUPM_Mittel2_Cube",AT_ExSc_Datenstand,"Alle Beteiligungen","Alle Koordinatoren","Alle Unternehmensgrößen","-2","Alle Organisationstypen",28,"Alle Expertevaluierungsstatus","-2","-2",1,"-2","Alle",$S81,E$8)</f>
        <v>13</v>
      </c>
      <c r="F81" s="635">
        <f ca="1">_xll.PALO.DATAC("jedoxtest/EU_PM_CUBE02","EUPM_Mittel2_Cube",AT_ExSc_Datenstand,"Alle Beteiligungen","Alle Koordinatoren","Alle Unternehmensgrößen","-2","Alle Organisationstypen",28,"Alle Expertevaluierungsstatus","-2","-2",1,"-2","Alle",$S81,F$8)</f>
        <v>2419200</v>
      </c>
      <c r="G81" s="635">
        <f ca="1">_xll.PALO.DATAC("jedoxtest/EU_PM_CUBE02","EUPM_Mittel2_Cube",AT_ExSc_Datenstand,"Alle Beteiligungen","Alle Koordinatoren","Alle Unternehmensgrößen","-2","Alle Organisationstypen",28,"Alle Expertevaluierungsstatus","-2","-2",1,"-2","Alle",$S81,G$8)</f>
        <v>1</v>
      </c>
      <c r="S81">
        <v>2947</v>
      </c>
      <c r="T81" s="619" t="str">
        <f ca="1">_xll.PALO.DATA("jedoxtest/EU_PM_CUBE02","#_Call","Bezeichnung",$S81)</f>
        <v>HORIZON-MSCA-2022-COFUND-01</v>
      </c>
      <c r="U81" s="618">
        <f t="shared" ca="1" si="11"/>
        <v>27</v>
      </c>
      <c r="Y81"/>
    </row>
    <row r="82" spans="1:25" s="618" customFormat="1" hidden="1">
      <c r="A82" s="617" t="b">
        <f ca="1">_xll.PALO.HIDEROW(ISBLANK($A$1))</f>
        <v>1</v>
      </c>
      <c r="D82" s="636" t="str">
        <f ca="1">MID(T82,9,U82-8)</f>
        <v>MSCA-2023-COFUND-01</v>
      </c>
      <c r="E82" s="635">
        <f ca="1">_xll.PALO.DATAC("jedoxtest/EU_PM_CUBE02","EUPM_Mittel2_Cube",AT_ExSc_Datenstand,"Alle Beteiligungen","Alle Koordinatoren","Alle Unternehmensgrößen","-2","Alle Organisationstypen",28,"Alle Expertevaluierungsstatus","-2","-2",1,"-2","Alle",$S82,E$8)</f>
        <v>3</v>
      </c>
      <c r="F82" s="635">
        <f ca="1">_xll.PALO.DATAC("jedoxtest/EU_PM_CUBE02","EUPM_Mittel2_Cube",AT_ExSc_Datenstand,"Alle Beteiligungen","Alle Koordinatoren","Alle Unternehmensgrößen","-2","Alle Organisationstypen",28,"Alle Expertevaluierungsstatus","-2","-2",1,"-2","Alle",$S82,F$8)</f>
        <v>0</v>
      </c>
      <c r="G82" s="635">
        <f ca="1">_xll.PALO.DATAC("jedoxtest/EU_PM_CUBE02","EUPM_Mittel2_Cube",AT_ExSc_Datenstand,"Alle Beteiligungen","Alle Koordinatoren","Alle Unternehmensgrößen","-2","Alle Organisationstypen",28,"Alle Expertevaluierungsstatus","-2","-2",1,"-2","Alle",$S82,G$8)</f>
        <v>0</v>
      </c>
      <c r="S82">
        <v>3079</v>
      </c>
      <c r="T82" s="619" t="str">
        <f ca="1">_xll.PALO.DATA("jedoxtest/EU_PM_CUBE02","#_Call","Bezeichnung",$S82)</f>
        <v>HORIZON-MSCA-2023-COFUND-01</v>
      </c>
      <c r="U82" s="618">
        <f t="shared" ca="1" si="11"/>
        <v>27</v>
      </c>
      <c r="Y82"/>
    </row>
    <row r="83" spans="1:25" s="618" customFormat="1" hidden="1">
      <c r="A83" s="617" t="b">
        <f ca="1">_xll.PALO.HIDEROW(ISBLANK($A$1))</f>
        <v>1</v>
      </c>
      <c r="D83" s="636" t="str">
        <f ca="1">MID(T83,9,U83-8)</f>
        <v>MSCA-2024-COFUND-01</v>
      </c>
      <c r="E83" s="635">
        <f ca="1">_xll.PALO.DATAC("jedoxtest/EU_PM_CUBE02","EUPM_Mittel2_Cube",AT_ExSc_Datenstand,"Alle Beteiligungen","Alle Koordinatoren","Alle Unternehmensgrößen","-2","Alle Organisationstypen",28,"Alle Expertevaluierungsstatus","-2","-2",1,"-2","Alle",$S83,E$8)</f>
        <v>9</v>
      </c>
      <c r="F83" s="635">
        <f ca="1">_xll.PALO.DATAC("jedoxtest/EU_PM_CUBE02","EUPM_Mittel2_Cube",AT_ExSc_Datenstand,"Alle Beteiligungen","Alle Koordinatoren","Alle Unternehmensgrößen","-2","Alle Organisationstypen",28,"Alle Expertevaluierungsstatus","-2","-2",1,"-2","Alle",$S83,F$8)</f>
        <v>2707200</v>
      </c>
      <c r="G83" s="635">
        <f ca="1">_xll.PALO.DATAC("jedoxtest/EU_PM_CUBE02","EUPM_Mittel2_Cube",AT_ExSc_Datenstand,"Alle Beteiligungen","Alle Koordinatoren","Alle Unternehmensgrößen","-2","Alle Organisationstypen",28,"Alle Expertevaluierungsstatus","-2","-2",1,"-2","Alle",$S83,G$8)</f>
        <v>1</v>
      </c>
      <c r="S83" s="664">
        <v>5211</v>
      </c>
      <c r="T83" s="619" t="str">
        <f ca="1">_xll.PALO.DATA("jedoxtest/EU_PM_CUBE02","#_Call","Bezeichnung",$S83)</f>
        <v>HORIZON-MSCA-2024-COFUND-01</v>
      </c>
      <c r="U83" s="584">
        <f t="shared" ref="U83" ca="1" si="14">LEN(T83)</f>
        <v>27</v>
      </c>
    </row>
    <row r="84" spans="1:25" s="618" customFormat="1" hidden="1">
      <c r="A84" s="617" t="b">
        <f ca="1">_xll.PALO.HIDEROW(ISBLANK($A$1))</f>
        <v>1</v>
      </c>
      <c r="D84" s="636" t="str">
        <f ca="1">MID(T84,9,U84-8)</f>
        <v>MSCA-2025-COFUND-01</v>
      </c>
      <c r="E84" s="635">
        <f ca="1">_xll.PALO.DATAC("jedoxtest/EU_PM_CUBE02","EUPM_Mittel2_Cube",AT_ExSc_Datenstand,"Alle Beteiligungen","Alle Koordinatoren","Alle Unternehmensgrößen","-2","Alle Organisationstypen",28,"Alle Expertevaluierungsstatus","-2","-2",1,"-2","Alle",$S84,E$8)</f>
        <v>5</v>
      </c>
      <c r="F84" s="635">
        <f ca="1">_xll.PALO.DATAC("jedoxtest/EU_PM_CUBE02","EUPM_Mittel2_Cube",AT_ExSc_Datenstand,"Alle Beteiligungen","Alle Koordinatoren","Alle Unternehmensgrößen","-2","Alle Organisationstypen",28,"Alle Expertevaluierungsstatus","-2","-2",1,"-2","Alle",$S84,F$8)</f>
        <v>1425600</v>
      </c>
      <c r="G84" s="635">
        <f ca="1">_xll.PALO.DATAC("jedoxtest/EU_PM_CUBE02","EUPM_Mittel2_Cube",AT_ExSc_Datenstand,"Alle Beteiligungen","Alle Koordinatoren","Alle Unternehmensgrößen","-2","Alle Organisationstypen",28,"Alle Expertevaluierungsstatus","-2","-2",1,"-2","Alle",$S84,G$8)</f>
        <v>1</v>
      </c>
      <c r="S84">
        <v>5307</v>
      </c>
      <c r="T84" s="619" t="str">
        <f ca="1">_xll.PALO.DATA("jedoxtest/EU_PM_CUBE02","#_Call","Bezeichnung",$S84)</f>
        <v>HORIZON-MSCA-2025-COFUND-01</v>
      </c>
      <c r="U84" s="584">
        <f t="shared" ref="U84" ca="1" si="15">LEN(T84)</f>
        <v>27</v>
      </c>
      <c r="Y84"/>
    </row>
    <row r="85" spans="1:25" hidden="1">
      <c r="A85" s="617" t="b">
        <f ca="1">_xll.PALO.HIDEROW(ISBLANK($A$1))</f>
        <v>1</v>
      </c>
      <c r="D85" s="634"/>
      <c r="E85" s="633"/>
      <c r="F85" s="633"/>
      <c r="G85" s="633"/>
      <c r="R85" s="617"/>
      <c r="T85" s="617"/>
      <c r="U85" s="618">
        <f t="shared" si="11"/>
        <v>0</v>
      </c>
      <c r="V85" s="617"/>
      <c r="W85" s="617"/>
      <c r="X85" s="617"/>
      <c r="Y85"/>
    </row>
    <row r="86" spans="1:25" s="618" customFormat="1">
      <c r="D86" s="638" t="str">
        <f>T86</f>
        <v>MSCA and Citizens</v>
      </c>
      <c r="E86" s="637">
        <f ca="1">SUM(E87:E89)</f>
        <v>20</v>
      </c>
      <c r="F86" s="637">
        <f ca="1">SUM(F87:F89)</f>
        <v>1173796.33</v>
      </c>
      <c r="G86" s="637">
        <f ca="1">SUM(G87:G89)</f>
        <v>4</v>
      </c>
      <c r="S86" s="617"/>
      <c r="T86" s="619" t="s">
        <v>311</v>
      </c>
      <c r="U86" s="618">
        <f t="shared" si="11"/>
        <v>17</v>
      </c>
      <c r="Y86"/>
    </row>
    <row r="87" spans="1:25" s="618" customFormat="1" hidden="1">
      <c r="A87" s="617" t="b">
        <f ca="1">_xll.PALO.HIDEROW(ISBLANK($A$1))</f>
        <v>1</v>
      </c>
      <c r="D87" s="636" t="str">
        <f ca="1">MID(T87,9,U87-8)</f>
        <v>MSCA-2022-CITIZENS-01</v>
      </c>
      <c r="E87" s="635">
        <f ca="1">_xll.PALO.DATAC("jedoxtest/EU_PM_CUBE02","EUPM_Mittel2_Cube",AT_ExSc_Datenstand,"Alle Beteiligungen","Alle Koordinatoren","Alle Unternehmensgrößen","-2","Alle Organisationstypen",28,"Alle Expertevaluierungsstatus","-2","-2",1,"-2","Alle",$S87,E$8)</f>
        <v>9</v>
      </c>
      <c r="F87" s="635">
        <f ca="1">_xll.PALO.DATAC("jedoxtest/EU_PM_CUBE02","EUPM_Mittel2_Cube",AT_ExSc_Datenstand,"Alle Beteiligungen","Alle Koordinatoren","Alle Unternehmensgrößen","-2","Alle Organisationstypen",28,"Alle Expertevaluierungsstatus","-2","-2",1,"-2","Alle",$S87,F$8)</f>
        <v>527862</v>
      </c>
      <c r="G87" s="635">
        <f ca="1">_xll.PALO.DATAC("jedoxtest/EU_PM_CUBE02","EUPM_Mittel2_Cube",AT_ExSc_Datenstand,"Alle Beteiligungen","Alle Koordinatoren","Alle Unternehmensgrößen","-2","Alle Organisationstypen",28,"Alle Expertevaluierungsstatus","-2","-2",1,"-2","Alle",$S87,G$8)</f>
        <v>2</v>
      </c>
      <c r="S87" s="617">
        <v>2612</v>
      </c>
      <c r="T87" s="619" t="str">
        <f ca="1">_xll.PALO.DATA("jedoxtest/EU_PM_CUBE02","#_Call","Bezeichnung",$S87)</f>
        <v>HORIZON-MSCA-2022-CITIZENS-01</v>
      </c>
      <c r="U87" s="618">
        <f t="shared" ca="1" si="11"/>
        <v>29</v>
      </c>
      <c r="Y87"/>
    </row>
    <row r="88" spans="1:25" s="618" customFormat="1" hidden="1">
      <c r="A88" s="617" t="b">
        <f ca="1">_xll.PALO.HIDEROW(ISBLANK($A$1))</f>
        <v>1</v>
      </c>
      <c r="D88" s="636" t="str">
        <f ca="1">MID(T88,9,U88-8)</f>
        <v>MSCA-2023-CITIZENS-01</v>
      </c>
      <c r="E88" s="635">
        <f ca="1">_xll.PALO.DATAC("jedoxtest/EU_PM_CUBE02","EUPM_Mittel2_Cube",AT_ExSc_Datenstand,"Alle Beteiligungen","Alle Koordinatoren","Alle Unternehmensgrößen","-2","Alle Organisationstypen",28,"Alle Expertevaluierungsstatus","-2","-2",1,"-2","Alle",$S88,E$8)</f>
        <v>4</v>
      </c>
      <c r="F88" s="635">
        <f ca="1">_xll.PALO.DATAC("jedoxtest/EU_PM_CUBE02","EUPM_Mittel2_Cube",AT_ExSc_Datenstand,"Alle Beteiligungen","Alle Koordinatoren","Alle Unternehmensgrößen","-2","Alle Organisationstypen",28,"Alle Expertevaluierungsstatus","-2","-2",1,"-2","Alle",$S88,F$8)</f>
        <v>300002.7</v>
      </c>
      <c r="G88" s="635">
        <f ca="1">_xll.PALO.DATAC("jedoxtest/EU_PM_CUBE02","EUPM_Mittel2_Cube",AT_ExSc_Datenstand,"Alle Beteiligungen","Alle Koordinatoren","Alle Unternehmensgrößen","-2","Alle Organisationstypen",28,"Alle Expertevaluierungsstatus","-2","-2",1,"-2","Alle",$S88,G$8)</f>
        <v>1</v>
      </c>
      <c r="S88" s="643">
        <v>3037</v>
      </c>
      <c r="T88" s="619" t="str">
        <f ca="1">_xll.PALO.DATA("jedoxtest/EU_PM_CUBE02","#_Call","Bezeichnung",$S88)</f>
        <v>HORIZON-MSCA-2023-CITIZENS-01</v>
      </c>
      <c r="U88" s="618">
        <f t="shared" ca="1" si="11"/>
        <v>29</v>
      </c>
      <c r="Y88"/>
    </row>
    <row r="89" spans="1:25" s="618" customFormat="1" hidden="1">
      <c r="A89" s="617" t="b">
        <f ca="1">_xll.PALO.HIDEROW(ISBLANK($A$1))</f>
        <v>1</v>
      </c>
      <c r="D89" s="636" t="str">
        <f ca="1">T89</f>
        <v>HORIZON-MSCA-2025-CITIZENS-01</v>
      </c>
      <c r="E89" s="635">
        <f ca="1">_xll.PALO.DATAC("jedoxtest/EU_PM_CUBE02","EUPM_Mittel2_Cube",AT_ExSc_Datenstand,"Alle Beteiligungen","Alle Koordinatoren","Alle Unternehmensgrößen","-2","Alle Organisationstypen",28,"Alle Expertevaluierungsstatus","-2","-2",1,"-2","Alle",$S89,E$8)</f>
        <v>7</v>
      </c>
      <c r="F89" s="635">
        <f ca="1">_xll.PALO.DATAC("jedoxtest/EU_PM_CUBE02","EUPM_Mittel2_Cube",AT_ExSc_Datenstand,"Alle Beteiligungen","Alle Koordinatoren","Alle Unternehmensgrößen","-2","Alle Organisationstypen",28,"Alle Expertevaluierungsstatus","-2","-2",1,"-2","Alle",$S89,F$8)</f>
        <v>345931.63</v>
      </c>
      <c r="G89" s="635">
        <f ca="1">_xll.PALO.DATAC("jedoxtest/EU_PM_CUBE02","EUPM_Mittel2_Cube",AT_ExSc_Datenstand,"Alle Beteiligungen","Alle Koordinatoren","Alle Unternehmensgrößen","-2","Alle Organisationstypen",28,"Alle Expertevaluierungsstatus","-2","-2",1,"-2","Alle",$S89,G$8)</f>
        <v>1</v>
      </c>
      <c r="S89">
        <v>5362</v>
      </c>
      <c r="T89" s="619" t="str">
        <f ca="1">_xll.PALO.DATA("jedoxtest/EU_PM_CUBE02","#_Call","Bezeichnung",$S89)</f>
        <v>HORIZON-MSCA-2025-CITIZENS-01</v>
      </c>
      <c r="U89" s="618">
        <f t="shared" ca="1" si="11"/>
        <v>29</v>
      </c>
      <c r="Y89"/>
    </row>
    <row r="90" spans="1:25" hidden="1">
      <c r="A90" s="617" t="b">
        <f ca="1">_xll.PALO.HIDEROW(ISBLANK($A$1))</f>
        <v>1</v>
      </c>
      <c r="D90" s="634"/>
      <c r="E90" s="633"/>
      <c r="F90" s="633"/>
      <c r="G90" s="633"/>
      <c r="R90" s="617"/>
      <c r="T90" s="617"/>
      <c r="U90" s="618">
        <f t="shared" si="11"/>
        <v>0</v>
      </c>
      <c r="V90" s="617"/>
      <c r="W90" s="617"/>
      <c r="X90" s="617"/>
      <c r="Y90"/>
    </row>
    <row r="91" spans="1:25" s="618" customFormat="1">
      <c r="D91" s="632" t="str">
        <f>T91</f>
        <v>MSCA andere</v>
      </c>
      <c r="E91" s="631">
        <f ca="1">SUM(E92:E108)</f>
        <v>19</v>
      </c>
      <c r="F91" s="631">
        <f ca="1">SUM(F92:F108)</f>
        <v>1809277.5</v>
      </c>
      <c r="G91" s="631">
        <f ca="1">SUM(G92:G108)</f>
        <v>1</v>
      </c>
      <c r="S91" s="617"/>
      <c r="T91" s="619" t="s">
        <v>312</v>
      </c>
      <c r="U91" s="618">
        <f t="shared" si="11"/>
        <v>11</v>
      </c>
    </row>
    <row r="92" spans="1:25" s="618" customFormat="1" hidden="1">
      <c r="A92" s="617" t="b">
        <f ca="1">_xll.PALO.HIDEROW(ISBLANK($A$1))</f>
        <v>1</v>
      </c>
      <c r="D92" s="656" t="str">
        <f t="shared" ref="D92:D101" ca="1" si="16">MID(T92,9,U92-8)</f>
        <v>MSCA-2021-FRC-IBA</v>
      </c>
      <c r="E92" s="620">
        <f ca="1">_xll.PALO.DATAC("jedoxtest/EU_PM_CUBE02","EUPM_Mittel2_Cube",AT_ExSc_Datenstand,"Alle Beteiligungen","Alle Koordinatoren","Alle Unternehmensgrößen","-2","Alle Organisationstypen",28,"Alle Expertevaluierungsstatus","-2","-2",1,"-2","Alle",$S92,E$8)</f>
        <v>0</v>
      </c>
      <c r="F92" s="620">
        <f ca="1">_xll.PALO.DATAC("jedoxtest/EU_PM_CUBE02","EUPM_Mittel2_Cube",AT_ExSc_Datenstand,"Alle Beteiligungen","Alle Koordinatoren","Alle Unternehmensgrößen","-2","Alle Organisationstypen",28,"Alle Expertevaluierungsstatus","-2","-2",1,"-2","Alle",$S92,F$8)</f>
        <v>0</v>
      </c>
      <c r="G92" s="620">
        <f ca="1">_xll.PALO.DATAC("jedoxtest/EU_PM_CUBE02","EUPM_Mittel2_Cube",AT_ExSc_Datenstand,"Alle Beteiligungen","Alle Koordinatoren","Alle Unternehmensgrößen","-2","Alle Organisationstypen",28,"Alle Expertevaluierungsstatus","-2","-2",1,"-2","Alle",$S92,G$8)</f>
        <v>0</v>
      </c>
      <c r="S92" s="617">
        <v>2608</v>
      </c>
      <c r="T92" s="619" t="str">
        <f ca="1">_xll.PALO.DATA("jedoxtest/EU_PM_CUBE02","#_Call","Bezeichnung",$S92)</f>
        <v>HORIZON-MSCA-2021-FRC-IBA</v>
      </c>
      <c r="U92" s="618">
        <f t="shared" ref="U92:U123" ca="1" si="17">LEN(T92)</f>
        <v>25</v>
      </c>
    </row>
    <row r="93" spans="1:25" s="618" customFormat="1" hidden="1">
      <c r="A93" s="617" t="b">
        <f ca="1">_xll.PALO.HIDEROW(ISBLANK($A$1))</f>
        <v>1</v>
      </c>
      <c r="D93" s="656" t="str">
        <f t="shared" ca="1" si="16"/>
        <v>MSCA-2021-INCO-01</v>
      </c>
      <c r="E93" s="620">
        <f ca="1">_xll.PALO.DATAC("jedoxtest/EU_PM_CUBE02","EUPM_Mittel2_Cube",AT_ExSc_Datenstand,"Alle Beteiligungen","Alle Koordinatoren","Alle Unternehmensgrößen","-2","Alle Organisationstypen",28,"Alle Expertevaluierungsstatus","-2","-2",1,"-2","Alle",$S93,E$8)</f>
        <v>1</v>
      </c>
      <c r="F93" s="620">
        <f ca="1">_xll.PALO.DATAC("jedoxtest/EU_PM_CUBE02","EUPM_Mittel2_Cube",AT_ExSc_Datenstand,"Alle Beteiligungen","Alle Koordinatoren","Alle Unternehmensgrößen","-2","Alle Organisationstypen",28,"Alle Expertevaluierungsstatus","-2","-2",1,"-2","Alle",$S93,F$8)</f>
        <v>349375</v>
      </c>
      <c r="G93" s="620">
        <f ca="1">_xll.PALO.DATAC("jedoxtest/EU_PM_CUBE02","EUPM_Mittel2_Cube",AT_ExSc_Datenstand,"Alle Beteiligungen","Alle Koordinatoren","Alle Unternehmensgrößen","-2","Alle Organisationstypen",28,"Alle Expertevaluierungsstatus","-2","-2",1,"-2","Alle",$S93,G$8)</f>
        <v>0</v>
      </c>
      <c r="S93" s="617">
        <v>2609</v>
      </c>
      <c r="T93" s="619" t="str">
        <f ca="1">_xll.PALO.DATA("jedoxtest/EU_PM_CUBE02","#_Call","Bezeichnung",$S93)</f>
        <v>HORIZON-MSCA-2021-INCO-01</v>
      </c>
      <c r="U93" s="618">
        <f t="shared" ca="1" si="17"/>
        <v>25</v>
      </c>
    </row>
    <row r="94" spans="1:25" s="618" customFormat="1" hidden="1">
      <c r="A94" s="617" t="b">
        <f ca="1">_xll.PALO.HIDEROW(ISBLANK($A$1))</f>
        <v>1</v>
      </c>
      <c r="D94" s="656" t="str">
        <f t="shared" ca="1" si="16"/>
        <v>MSCA-2021-NCP-01</v>
      </c>
      <c r="E94" s="620">
        <f ca="1">_xll.PALO.DATAC("jedoxtest/EU_PM_CUBE02","EUPM_Mittel2_Cube",AT_ExSc_Datenstand,"Alle Beteiligungen","Alle Koordinatoren","Alle Unternehmensgrößen","-2","Alle Organisationstypen",28,"Alle Expertevaluierungsstatus","-2","-2",1,"-2","Alle",$S94,E$8)</f>
        <v>0</v>
      </c>
      <c r="F94" s="620">
        <f ca="1">_xll.PALO.DATAC("jedoxtest/EU_PM_CUBE02","EUPM_Mittel2_Cube",AT_ExSc_Datenstand,"Alle Beteiligungen","Alle Koordinatoren","Alle Unternehmensgrößen","-2","Alle Organisationstypen",28,"Alle Expertevaluierungsstatus","-2","-2",1,"-2","Alle",$S94,F$8)</f>
        <v>0</v>
      </c>
      <c r="G94" s="620">
        <f ca="1">_xll.PALO.DATAC("jedoxtest/EU_PM_CUBE02","EUPM_Mittel2_Cube",AT_ExSc_Datenstand,"Alle Beteiligungen","Alle Koordinatoren","Alle Unternehmensgrößen","-2","Alle Organisationstypen",28,"Alle Expertevaluierungsstatus","-2","-2",1,"-2","Alle",$S94,G$8)</f>
        <v>0</v>
      </c>
      <c r="S94" s="617">
        <v>2610</v>
      </c>
      <c r="T94" s="619" t="str">
        <f ca="1">_xll.PALO.DATA("jedoxtest/EU_PM_CUBE02","#_Call","Bezeichnung",$S94)</f>
        <v>HORIZON-MSCA-2021-NCP-01</v>
      </c>
      <c r="U94" s="618">
        <f t="shared" ca="1" si="17"/>
        <v>24</v>
      </c>
    </row>
    <row r="95" spans="1:25" s="618" customFormat="1" hidden="1">
      <c r="A95" s="617" t="b">
        <f ca="1">_xll.PALO.HIDEROW(ISBLANK($A$1))</f>
        <v>1</v>
      </c>
      <c r="D95" s="656" t="str">
        <f t="shared" ca="1" si="16"/>
        <v>MSCA-2021-SLOVENIAN-PRESIDENCY-IBA</v>
      </c>
      <c r="E95" s="620">
        <f ca="1">_xll.PALO.DATAC("jedoxtest/EU_PM_CUBE02","EUPM_Mittel2_Cube",AT_ExSc_Datenstand,"Alle Beteiligungen","Alle Koordinatoren","Alle Unternehmensgrößen","-2","Alle Organisationstypen",28,"Alle Expertevaluierungsstatus","-2","-2",1,"-2","Alle",$S95,E$8)</f>
        <v>0</v>
      </c>
      <c r="F95" s="620">
        <f ca="1">_xll.PALO.DATAC("jedoxtest/EU_PM_CUBE02","EUPM_Mittel2_Cube",AT_ExSc_Datenstand,"Alle Beteiligungen","Alle Koordinatoren","Alle Unternehmensgrößen","-2","Alle Organisationstypen",28,"Alle Expertevaluierungsstatus","-2","-2",1,"-2","Alle",$S95,F$8)</f>
        <v>0</v>
      </c>
      <c r="G95" s="620">
        <f ca="1">_xll.PALO.DATAC("jedoxtest/EU_PM_CUBE02","EUPM_Mittel2_Cube",AT_ExSc_Datenstand,"Alle Beteiligungen","Alle Koordinatoren","Alle Unternehmensgrößen","-2","Alle Organisationstypen",28,"Alle Expertevaluierungsstatus","-2","-2",1,"-2","Alle",$S95,G$8)</f>
        <v>0</v>
      </c>
      <c r="S95" s="617">
        <v>2611</v>
      </c>
      <c r="T95" s="619" t="str">
        <f ca="1">_xll.PALO.DATA("jedoxtest/EU_PM_CUBE02","#_Call","Bezeichnung",$S95)</f>
        <v>HORIZON-MSCA-2021-SLOVENIAN-PRESIDENCY-IBA</v>
      </c>
      <c r="U95" s="618">
        <f t="shared" ca="1" si="17"/>
        <v>42</v>
      </c>
    </row>
    <row r="96" spans="1:25" s="618" customFormat="1" hidden="1">
      <c r="A96" s="617" t="b">
        <f ca="1">_xll.PALO.HIDEROW(ISBLANK($A$1))</f>
        <v>1</v>
      </c>
      <c r="D96" s="656" t="str">
        <f t="shared" ca="1" si="16"/>
        <v>MSCA-2021-RR-01</v>
      </c>
      <c r="E96" s="620">
        <f ca="1">_xll.PALO.DATAC("jedoxtest/EU_PM_CUBE02","EUPM_Mittel2_Cube",AT_ExSc_Datenstand,"Alle Beteiligungen","Alle Koordinatoren","Alle Unternehmensgrößen","-2","Alle Organisationstypen",28,"Alle Expertevaluierungsstatus","-2","-2",1,"-2","Alle",$S96,E$8)</f>
        <v>0</v>
      </c>
      <c r="F96" s="620">
        <f ca="1">_xll.PALO.DATAC("jedoxtest/EU_PM_CUBE02","EUPM_Mittel2_Cube",AT_ExSc_Datenstand,"Alle Beteiligungen","Alle Koordinatoren","Alle Unternehmensgrößen","-2","Alle Organisationstypen",28,"Alle Expertevaluierungsstatus","-2","-2",1,"-2","Alle",$S96,F$8)</f>
        <v>0</v>
      </c>
      <c r="G96" s="620">
        <f ca="1">_xll.PALO.DATAC("jedoxtest/EU_PM_CUBE02","EUPM_Mittel2_Cube",AT_ExSc_Datenstand,"Alle Beteiligungen","Alle Koordinatoren","Alle Unternehmensgrößen","-2","Alle Organisationstypen",28,"Alle Expertevaluierungsstatus","-2","-2",1,"-2","Alle",$S96,G$8)</f>
        <v>0</v>
      </c>
      <c r="S96" s="617">
        <v>2647</v>
      </c>
      <c r="T96" s="619" t="str">
        <f ca="1">_xll.PALO.DATA("jedoxtest/EU_PM_CUBE02","#_Call","Bezeichnung",$S96)</f>
        <v>HORIZON-MSCA-2021-RR-01</v>
      </c>
      <c r="U96" s="618">
        <f t="shared" ca="1" si="17"/>
        <v>23</v>
      </c>
    </row>
    <row r="97" spans="1:21" s="618" customFormat="1" hidden="1">
      <c r="A97" s="617" t="b">
        <f ca="1">_xll.PALO.HIDEROW(ISBLANK($A$1))</f>
        <v>1</v>
      </c>
      <c r="D97" s="656" t="str">
        <f t="shared" ca="1" si="16"/>
        <v>MSCA-2021-SNLS-IBA</v>
      </c>
      <c r="E97" s="620">
        <f ca="1">_xll.PALO.DATAC("jedoxtest/EU_PM_CUBE02","EUPM_Mittel2_Cube",AT_ExSc_Datenstand,"Alle Beteiligungen","Alle Koordinatoren","Alle Unternehmensgrößen","-2","Alle Organisationstypen",28,"Alle Expertevaluierungsstatus","-2","-2",1,"-2","Alle",$S97,E$8)</f>
        <v>1</v>
      </c>
      <c r="F97" s="620">
        <f ca="1">_xll.PALO.DATAC("jedoxtest/EU_PM_CUBE02","EUPM_Mittel2_Cube",AT_ExSc_Datenstand,"Alle Beteiligungen","Alle Koordinatoren","Alle Unternehmensgrößen","-2","Alle Organisationstypen",28,"Alle Expertevaluierungsstatus","-2","-2",1,"-2","Alle",$S97,F$8)</f>
        <v>37062.5</v>
      </c>
      <c r="G97" s="620">
        <f ca="1">_xll.PALO.DATAC("jedoxtest/EU_PM_CUBE02","EUPM_Mittel2_Cube",AT_ExSc_Datenstand,"Alle Beteiligungen","Alle Koordinatoren","Alle Unternehmensgrößen","-2","Alle Organisationstypen",28,"Alle Expertevaluierungsstatus","-2","-2",1,"-2","Alle",$S97,G$8)</f>
        <v>1</v>
      </c>
      <c r="S97" s="617">
        <v>2649</v>
      </c>
      <c r="T97" s="619" t="str">
        <f ca="1">_xll.PALO.DATA("jedoxtest/EU_PM_CUBE02","#_Call","Bezeichnung",$S97)</f>
        <v>HORIZON-MSCA-2021-SNLS-IBA</v>
      </c>
      <c r="U97" s="618">
        <f t="shared" ca="1" si="17"/>
        <v>26</v>
      </c>
    </row>
    <row r="98" spans="1:21" s="618" customFormat="1" hidden="1">
      <c r="A98" s="617" t="b">
        <f ca="1">_xll.PALO.HIDEROW(ISBLANK($A$1))</f>
        <v>1</v>
      </c>
      <c r="D98" s="656" t="str">
        <f t="shared" ca="1" si="16"/>
        <v>MSCA-2022-ALUMNI-IBA</v>
      </c>
      <c r="E98" s="620">
        <f ca="1">_xll.PALO.DATAC("jedoxtest/EU_PM_CUBE02","EUPM_Mittel2_Cube",AT_ExSc_Datenstand,"Alle Beteiligungen","Alle Koordinatoren","Alle Unternehmensgrößen","-2","Alle Organisationstypen",28,"Alle Expertevaluierungsstatus","-2","-2",1,"-2","Alle",$S98,E$8)</f>
        <v>0</v>
      </c>
      <c r="F98" s="620">
        <f ca="1">_xll.PALO.DATAC("jedoxtest/EU_PM_CUBE02","EUPM_Mittel2_Cube",AT_ExSc_Datenstand,"Alle Beteiligungen","Alle Koordinatoren","Alle Unternehmensgrößen","-2","Alle Organisationstypen",28,"Alle Expertevaluierungsstatus","-2","-2",1,"-2","Alle",$S98,F$8)</f>
        <v>0</v>
      </c>
      <c r="G98" s="620">
        <f ca="1">_xll.PALO.DATAC("jedoxtest/EU_PM_CUBE02","EUPM_Mittel2_Cube",AT_ExSc_Datenstand,"Alle Beteiligungen","Alle Koordinatoren","Alle Unternehmensgrößen","-2","Alle Organisationstypen",28,"Alle Expertevaluierungsstatus","-2","-2",1,"-2","Alle",$S98,G$8)</f>
        <v>0</v>
      </c>
      <c r="S98" s="617">
        <v>2792</v>
      </c>
      <c r="T98" s="619" t="str">
        <f ca="1">_xll.PALO.DATA("jedoxtest/EU_PM_CUBE02","#_Call","Bezeichnung",$S98)</f>
        <v>HORIZON-MSCA-2022-ALUMNI-IBA</v>
      </c>
      <c r="U98" s="618">
        <f t="shared" ca="1" si="17"/>
        <v>28</v>
      </c>
    </row>
    <row r="99" spans="1:21" s="618" customFormat="1" hidden="1">
      <c r="A99" s="617" t="b">
        <f ca="1">_xll.PALO.HIDEROW(ISBLANK($A$1))</f>
        <v>1</v>
      </c>
      <c r="D99" s="656" t="str">
        <f t="shared" ca="1" si="16"/>
        <v>MSCA-2022-Ukraine-ART195-IBA</v>
      </c>
      <c r="E99" s="620">
        <f ca="1">_xll.PALO.DATAC("jedoxtest/EU_PM_CUBE02","EUPM_Mittel2_Cube",AT_ExSc_Datenstand,"Alle Beteiligungen","Alle Koordinatoren","Alle Unternehmensgrößen","-2","Alle Organisationstypen",28,"Alle Expertevaluierungsstatus","-2","-2",1,"-2","Alle",$S99,E$8)</f>
        <v>0</v>
      </c>
      <c r="F99" s="620">
        <f ca="1">_xll.PALO.DATAC("jedoxtest/EU_PM_CUBE02","EUPM_Mittel2_Cube",AT_ExSc_Datenstand,"Alle Beteiligungen","Alle Koordinatoren","Alle Unternehmensgrößen","-2","Alle Organisationstypen",28,"Alle Expertevaluierungsstatus","-2","-2",1,"-2","Alle",$S99,F$8)</f>
        <v>0</v>
      </c>
      <c r="G99" s="620">
        <f ca="1">_xll.PALO.DATAC("jedoxtest/EU_PM_CUBE02","EUPM_Mittel2_Cube",AT_ExSc_Datenstand,"Alle Beteiligungen","Alle Koordinatoren","Alle Unternehmensgrößen","-2","Alle Organisationstypen",28,"Alle Expertevaluierungsstatus","-2","-2",1,"-2","Alle",$S99,G$8)</f>
        <v>0</v>
      </c>
      <c r="S99" s="617">
        <v>2793</v>
      </c>
      <c r="T99" s="619" t="str">
        <f ca="1">_xll.PALO.DATA("jedoxtest/EU_PM_CUBE02","#_Call","Bezeichnung",$S99)</f>
        <v>HORIZON-MSCA-2022-Ukraine-ART195-IBA</v>
      </c>
      <c r="U99" s="618">
        <f t="shared" ca="1" si="17"/>
        <v>36</v>
      </c>
    </row>
    <row r="100" spans="1:21" s="618" customFormat="1" hidden="1">
      <c r="A100" s="617" t="b">
        <f ca="1">_xll.PALO.HIDEROW(ISBLANK($A$1))</f>
        <v>1</v>
      </c>
      <c r="D100" s="656" t="str">
        <f t="shared" ca="1" si="16"/>
        <v>MSCA-2023-ESP-IBA</v>
      </c>
      <c r="E100" s="620">
        <f ca="1">_xll.PALO.DATAC("jedoxtest/EU_PM_CUBE02","EUPM_Mittel2_Cube",AT_ExSc_Datenstand,"Alle Beteiligungen","Alle Koordinatoren","Alle Unternehmensgrößen","-2","Alle Organisationstypen",28,"Alle Expertevaluierungsstatus","-2","-2",1,"-2","Alle",$S100,E$8)</f>
        <v>0</v>
      </c>
      <c r="F100" s="620">
        <f ca="1">_xll.PALO.DATAC("jedoxtest/EU_PM_CUBE02","EUPM_Mittel2_Cube",AT_ExSc_Datenstand,"Alle Beteiligungen","Alle Koordinatoren","Alle Unternehmensgrößen","-2","Alle Organisationstypen",28,"Alle Expertevaluierungsstatus","-2","-2",1,"-2","Alle",$S100,F$8)</f>
        <v>0</v>
      </c>
      <c r="G100" s="620">
        <f ca="1">_xll.PALO.DATAC("jedoxtest/EU_PM_CUBE02","EUPM_Mittel2_Cube",AT_ExSc_Datenstand,"Alle Beteiligungen","Alle Koordinatoren","Alle Unternehmensgrößen","-2","Alle Organisationstypen",28,"Alle Expertevaluierungsstatus","-2","-2",1,"-2","Alle",$S100,G$8)</f>
        <v>0</v>
      </c>
      <c r="S100" s="617">
        <v>2949</v>
      </c>
      <c r="T100" s="619" t="str">
        <f ca="1">_xll.PALO.DATA("jedoxtest/EU_PM_CUBE02","#_Call","Bezeichnung",$S100)</f>
        <v>HORIZON-MSCA-2023-ESP-IBA</v>
      </c>
      <c r="U100" s="618">
        <f t="shared" ca="1" si="17"/>
        <v>25</v>
      </c>
    </row>
    <row r="101" spans="1:21" s="618" customFormat="1" hidden="1">
      <c r="A101" s="617" t="b">
        <f ca="1">_xll.PALO.HIDEROW(ISBLANK($A$1))</f>
        <v>1</v>
      </c>
      <c r="D101" s="656" t="str">
        <f t="shared" ca="1" si="16"/>
        <v>MSCA-2023-BEL-IBA</v>
      </c>
      <c r="E101" s="620">
        <f ca="1">_xll.PALO.DATAC("jedoxtest/EU_PM_CUBE02","EUPM_Mittel2_Cube",AT_ExSc_Datenstand,"Alle Beteiligungen","Alle Koordinatoren","Alle Unternehmensgrößen","-2","Alle Organisationstypen",28,"Alle Expertevaluierungsstatus","-2","-2",1,"-2","Alle",$S101,E$8)</f>
        <v>0</v>
      </c>
      <c r="F101" s="620">
        <f ca="1">_xll.PALO.DATAC("jedoxtest/EU_PM_CUBE02","EUPM_Mittel2_Cube",AT_ExSc_Datenstand,"Alle Beteiligungen","Alle Koordinatoren","Alle Unternehmensgrößen","-2","Alle Organisationstypen",28,"Alle Expertevaluierungsstatus","-2","-2",1,"-2","Alle",$S101,F$8)</f>
        <v>0</v>
      </c>
      <c r="G101" s="620">
        <f ca="1">_xll.PALO.DATAC("jedoxtest/EU_PM_CUBE02","EUPM_Mittel2_Cube",AT_ExSc_Datenstand,"Alle Beteiligungen","Alle Koordinatoren","Alle Unternehmensgrößen","-2","Alle Organisationstypen",28,"Alle Expertevaluierungsstatus","-2","-2",1,"-2","Alle",$S101,G$8)</f>
        <v>0</v>
      </c>
      <c r="S101" s="664">
        <v>2996</v>
      </c>
      <c r="T101" s="619" t="str">
        <f ca="1">_xll.PALO.DATA("jedoxtest/EU_PM_CUBE02","#_Call","Bezeichnung",$S101)</f>
        <v>HORIZON-MSCA-2023-BEL-IBA</v>
      </c>
      <c r="U101" s="618">
        <f t="shared" ca="1" si="17"/>
        <v>25</v>
      </c>
    </row>
    <row r="102" spans="1:21" s="618" customFormat="1" hidden="1">
      <c r="A102" s="617" t="b">
        <f ca="1">_xll.PALO.HIDEROW(ISBLANK($A$1))</f>
        <v>1</v>
      </c>
      <c r="D102" s="656" t="str">
        <f t="shared" ref="D102:D103" ca="1" si="18">MID(T102,9,U102-8)</f>
        <v>MSCA-2024-UKRAINE-IBA</v>
      </c>
      <c r="E102" s="620">
        <f ca="1">_xll.PALO.DATAC("jedoxtest/EU_PM_CUBE02","EUPM_Mittel2_Cube",AT_ExSc_Datenstand,"Alle Beteiligungen","Alle Koordinatoren","Alle Unternehmensgrößen","-2","Alle Organisationstypen",28,"Alle Expertevaluierungsstatus","-2","-2",1,"-2","Alle",$S102,E$8)</f>
        <v>0</v>
      </c>
      <c r="F102" s="620">
        <f ca="1">_xll.PALO.DATAC("jedoxtest/EU_PM_CUBE02","EUPM_Mittel2_Cube",AT_ExSc_Datenstand,"Alle Beteiligungen","Alle Koordinatoren","Alle Unternehmensgrößen","-2","Alle Organisationstypen",28,"Alle Expertevaluierungsstatus","-2","-2",1,"-2","Alle",$S102,F$8)</f>
        <v>0</v>
      </c>
      <c r="G102" s="620">
        <f ca="1">_xll.PALO.DATAC("jedoxtest/EU_PM_CUBE02","EUPM_Mittel2_Cube",AT_ExSc_Datenstand,"Alle Beteiligungen","Alle Koordinatoren","Alle Unternehmensgrößen","-2","Alle Organisationstypen",28,"Alle Expertevaluierungsstatus","-2","-2",1,"-2","Alle",$S102,G$8)</f>
        <v>0</v>
      </c>
      <c r="S102">
        <v>3083</v>
      </c>
      <c r="T102" s="619" t="str">
        <f ca="1">_xll.PALO.DATA("jedoxtest/EU_PM_CUBE02","#_Call","Bezeichnung",$S102)</f>
        <v>HORIZON-MSCA-2024-UKRAINE-IBA</v>
      </c>
      <c r="U102" s="618">
        <f t="shared" ca="1" si="17"/>
        <v>29</v>
      </c>
    </row>
    <row r="103" spans="1:21" s="618" customFormat="1" hidden="1">
      <c r="A103" s="617" t="b">
        <f ca="1">_xll.PALO.HIDEROW(ISBLANK($A$1))</f>
        <v>1</v>
      </c>
      <c r="D103" s="656" t="str">
        <f t="shared" ca="1" si="18"/>
        <v>MSCA-2024-FTP-01</v>
      </c>
      <c r="E103" s="620">
        <f ca="1">_xll.PALO.DATAC("jedoxtest/EU_PM_CUBE02","EUPM_Mittel2_Cube",AT_ExSc_Datenstand,"Alle Beteiligungen","Alle Koordinatoren","Alle Unternehmensgrößen","-2","Alle Organisationstypen",28,"Alle Expertevaluierungsstatus","-2","-2",1,"-2","Alle",$S103,E$8)</f>
        <v>0</v>
      </c>
      <c r="F103" s="620">
        <f ca="1">_xll.PALO.DATAC("jedoxtest/EU_PM_CUBE02","EUPM_Mittel2_Cube",AT_ExSc_Datenstand,"Alle Beteiligungen","Alle Koordinatoren","Alle Unternehmensgrößen","-2","Alle Organisationstypen",28,"Alle Expertevaluierungsstatus","-2","-2",1,"-2","Alle",$S103,F$8)</f>
        <v>0</v>
      </c>
      <c r="G103" s="620">
        <f ca="1">_xll.PALO.DATAC("jedoxtest/EU_PM_CUBE02","EUPM_Mittel2_Cube",AT_ExSc_Datenstand,"Alle Beteiligungen","Alle Koordinatoren","Alle Unternehmensgrößen","-2","Alle Organisationstypen",28,"Alle Expertevaluierungsstatus","-2","-2",1,"-2","Alle",$S103,G$8)</f>
        <v>0</v>
      </c>
      <c r="S103">
        <v>3165</v>
      </c>
      <c r="T103" s="619" t="str">
        <f ca="1">_xll.PALO.DATA("jedoxtest/EU_PM_CUBE02","#_Call","Bezeichnung",$S103)</f>
        <v>HORIZON-MSCA-2024-FTP-01</v>
      </c>
      <c r="U103" s="618">
        <f t="shared" ca="1" si="17"/>
        <v>24</v>
      </c>
    </row>
    <row r="104" spans="1:21" s="618" customFormat="1" hidden="1">
      <c r="A104" s="617" t="b">
        <f ca="1">_xll.PALO.HIDEROW(ISBLANK($A$1))</f>
        <v>1</v>
      </c>
      <c r="D104" s="656" t="str">
        <f t="shared" ref="D104" ca="1" si="19">MID(T104,9,U104-8)</f>
        <v>MSCA-2024-NCP-01</v>
      </c>
      <c r="E104" s="620">
        <f ca="1">_xll.PALO.DATAC("jedoxtest/EU_PM_CUBE02","EUPM_Mittel2_Cube",AT_ExSc_Datenstand,"Alle Beteiligungen","Alle Koordinatoren","Alle Unternehmensgrößen","-2","Alle Organisationstypen",28,"Alle Expertevaluierungsstatus","-2","-2",1,"-2","Alle",$S104,E$8)</f>
        <v>0</v>
      </c>
      <c r="F104" s="620">
        <f ca="1">_xll.PALO.DATAC("jedoxtest/EU_PM_CUBE02","EUPM_Mittel2_Cube",AT_ExSc_Datenstand,"Alle Beteiligungen","Alle Koordinatoren","Alle Unternehmensgrößen","-2","Alle Organisationstypen",28,"Alle Expertevaluierungsstatus","-2","-2",1,"-2","Alle",$S104,F$8)</f>
        <v>0</v>
      </c>
      <c r="G104" s="620">
        <f ca="1">_xll.PALO.DATAC("jedoxtest/EU_PM_CUBE02","EUPM_Mittel2_Cube",AT_ExSc_Datenstand,"Alle Beteiligungen","Alle Koordinatoren","Alle Unternehmensgrößen","-2","Alle Organisationstypen",28,"Alle Expertevaluierungsstatus","-2","-2",1,"-2","Alle",$S104,G$8)</f>
        <v>0</v>
      </c>
      <c r="S104">
        <v>3167</v>
      </c>
      <c r="T104" s="619" t="str">
        <f ca="1">_xll.PALO.DATA("jedoxtest/EU_PM_CUBE02","#_Call","Bezeichnung",$S104)</f>
        <v>HORIZON-MSCA-2024-NCP-01</v>
      </c>
      <c r="U104" s="618">
        <f t="shared" ca="1" si="17"/>
        <v>24</v>
      </c>
    </row>
    <row r="105" spans="1:21" s="618" customFormat="1" hidden="1">
      <c r="A105" s="617" t="b">
        <f ca="1">_xll.PALO.HIDEROW(ISBLANK($A$1))</f>
        <v>1</v>
      </c>
      <c r="D105" s="656" t="str">
        <f t="shared" ref="D105:D108" ca="1" si="20">MID(T105,9,U105-8)</f>
        <v>MSCA-2024-ALUMNI-IBA</v>
      </c>
      <c r="E105" s="620">
        <f ca="1">_xll.PALO.DATAC("jedoxtest/EU_PM_CUBE02","EUPM_Mittel2_Cube",AT_ExSc_Datenstand,"Alle Beteiligungen","Alle Koordinatoren","Alle Unternehmensgrößen","-2","Alle Organisationstypen",28,"Alle Expertevaluierungsstatus","-2","-2",1,"-2","Alle",$S105,E$8)</f>
        <v>0</v>
      </c>
      <c r="F105" s="620">
        <f ca="1">_xll.PALO.DATAC("jedoxtest/EU_PM_CUBE02","EUPM_Mittel2_Cube",AT_ExSc_Datenstand,"Alle Beteiligungen","Alle Koordinatoren","Alle Unternehmensgrößen","-2","Alle Organisationstypen",28,"Alle Expertevaluierungsstatus","-2","-2",1,"-2","Alle",$S105,F$8)</f>
        <v>0</v>
      </c>
      <c r="G105" s="620">
        <f ca="1">_xll.PALO.DATAC("jedoxtest/EU_PM_CUBE02","EUPM_Mittel2_Cube",AT_ExSc_Datenstand,"Alle Beteiligungen","Alle Koordinatoren","Alle Unternehmensgrößen","-2","Alle Organisationstypen",28,"Alle Expertevaluierungsstatus","-2","-2",1,"-2","Alle",$S105,G$8)</f>
        <v>0</v>
      </c>
      <c r="S105" s="687">
        <v>3121</v>
      </c>
      <c r="T105" s="619" t="str">
        <f ca="1">_xll.PALO.DATA("jedoxtest/EU_PM_CUBE02","#_Call","Bezeichnung",$S105)</f>
        <v>HORIZON-MSCA-2024-ALUMNI-IBA</v>
      </c>
      <c r="U105" s="618">
        <f t="shared" ref="U105:U108" ca="1" si="21">LEN(T105)</f>
        <v>28</v>
      </c>
    </row>
    <row r="106" spans="1:21" s="618" customFormat="1" hidden="1">
      <c r="A106" s="617" t="b">
        <f ca="1">_xll.PALO.HIDEROW(ISBLANK($A$1))</f>
        <v>1</v>
      </c>
      <c r="D106" s="656" t="str">
        <f t="shared" ca="1" si="20"/>
        <v>MSCA-2024-INCO-01</v>
      </c>
      <c r="E106" s="620">
        <f ca="1">_xll.PALO.DATAC("jedoxtest/EU_PM_CUBE02","EUPM_Mittel2_Cube",AT_ExSc_Datenstand,"Alle Beteiligungen","Alle Koordinatoren","Alle Unternehmensgrößen","-2","Alle Organisationstypen",28,"Alle Expertevaluierungsstatus","-2","-2",1,"-2","Alle",$S106,E$8)</f>
        <v>0</v>
      </c>
      <c r="F106" s="620">
        <f ca="1">_xll.PALO.DATAC("jedoxtest/EU_PM_CUBE02","EUPM_Mittel2_Cube",AT_ExSc_Datenstand,"Alle Beteiligungen","Alle Koordinatoren","Alle Unternehmensgrößen","-2","Alle Organisationstypen",28,"Alle Expertevaluierungsstatus","-2","-2",1,"-2","Alle",$S106,F$8)</f>
        <v>0</v>
      </c>
      <c r="G106" s="620">
        <f ca="1">_xll.PALO.DATAC("jedoxtest/EU_PM_CUBE02","EUPM_Mittel2_Cube",AT_ExSc_Datenstand,"Alle Beteiligungen","Alle Koordinatoren","Alle Unternehmensgrößen","-2","Alle Organisationstypen",28,"Alle Expertevaluierungsstatus","-2","-2",1,"-2","Alle",$S106,G$8)</f>
        <v>0</v>
      </c>
      <c r="S106" s="687">
        <v>3166</v>
      </c>
      <c r="T106" s="619" t="str">
        <f ca="1">_xll.PALO.DATA("jedoxtest/EU_PM_CUBE02","#_Call","Bezeichnung",$S106)</f>
        <v>HORIZON-MSCA-2024-INCO-01</v>
      </c>
      <c r="U106" s="618">
        <f t="shared" ca="1" si="21"/>
        <v>25</v>
      </c>
    </row>
    <row r="107" spans="1:21" s="618" customFormat="1" hidden="1">
      <c r="A107" s="617" t="b">
        <f ca="1">_xll.PALO.HIDEROW(ISBLANK($A$1))</f>
        <v>1</v>
      </c>
      <c r="D107" s="656" t="str">
        <f t="shared" ca="1" si="20"/>
        <v>MSCA-2025-DNK-IBA</v>
      </c>
      <c r="E107" s="620">
        <f ca="1">_xll.PALO.DATAC("jedoxtest/EU_PM_CUBE02","EUPM_Mittel2_Cube",AT_ExSc_Datenstand,"Alle Beteiligungen","Alle Koordinatoren","Alle Unternehmensgrößen","-2","Alle Organisationstypen",28,"Alle Expertevaluierungsstatus","-2","-2",1,"-2","Alle",$S107,E$8)</f>
        <v>0</v>
      </c>
      <c r="F107" s="620">
        <f ca="1">_xll.PALO.DATAC("jedoxtest/EU_PM_CUBE02","EUPM_Mittel2_Cube",AT_ExSc_Datenstand,"Alle Beteiligungen","Alle Koordinatoren","Alle Unternehmensgrößen","-2","Alle Organisationstypen",28,"Alle Expertevaluierungsstatus","-2","-2",1,"-2","Alle",$S107,F$8)</f>
        <v>0</v>
      </c>
      <c r="G107" s="620">
        <f ca="1">_xll.PALO.DATAC("jedoxtest/EU_PM_CUBE02","EUPM_Mittel2_Cube",AT_ExSc_Datenstand,"Alle Beteiligungen","Alle Koordinatoren","Alle Unternehmensgrößen","-2","Alle Organisationstypen",28,"Alle Expertevaluierungsstatus","-2","-2",1,"-2","Alle",$S107,G$8)</f>
        <v>0</v>
      </c>
      <c r="S107" s="687">
        <v>5215</v>
      </c>
      <c r="T107" s="619" t="str">
        <f ca="1">_xll.PALO.DATA("jedoxtest/EU_PM_CUBE02","#_Call","Bezeichnung",$S107)</f>
        <v>HORIZON-MSCA-2025-DNK-IBA</v>
      </c>
      <c r="U107" s="618">
        <f t="shared" ca="1" si="21"/>
        <v>25</v>
      </c>
    </row>
    <row r="108" spans="1:21" s="618" customFormat="1" hidden="1">
      <c r="A108" s="617" t="b">
        <f ca="1">_xll.PALO.HIDEROW(ISBLANK($A$1))</f>
        <v>1</v>
      </c>
      <c r="D108" s="656" t="str">
        <f t="shared" ca="1" si="20"/>
        <v>MSCA-2024-SE-01</v>
      </c>
      <c r="E108" s="620">
        <f ca="1">_xll.PALO.DATAC("jedoxtest/EU_PM_CUBE02","EUPM_Mittel2_Cube",AT_ExSc_Datenstand,"Alle Beteiligungen","Alle Koordinatoren","Alle Unternehmensgrößen","-2","Alle Organisationstypen",28,"Alle Expertevaluierungsstatus","-2","-2",1,"-2","Alle",$S108,E$8)</f>
        <v>17</v>
      </c>
      <c r="F108" s="620">
        <f ca="1">_xll.PALO.DATAC("jedoxtest/EU_PM_CUBE02","EUPM_Mittel2_Cube",AT_ExSc_Datenstand,"Alle Beteiligungen","Alle Koordinatoren","Alle Unternehmensgrößen","-2","Alle Organisationstypen",28,"Alle Expertevaluierungsstatus","-2","-2",1,"-2","Alle",$S108,F$8)</f>
        <v>1422840</v>
      </c>
      <c r="G108" s="620">
        <f ca="1">_xll.PALO.DATAC("jedoxtest/EU_PM_CUBE02","EUPM_Mittel2_Cube",AT_ExSc_Datenstand,"Alle Beteiligungen","Alle Koordinatoren","Alle Unternehmensgrößen","-2","Alle Organisationstypen",28,"Alle Expertevaluierungsstatus","-2","-2",1,"-2","Alle",$S108,G$8)</f>
        <v>0</v>
      </c>
      <c r="S108" s="643">
        <v>5248</v>
      </c>
      <c r="T108" s="619" t="str">
        <f ca="1">_xll.PALO.DATA("jedoxtest/EU_PM_CUBE02","#_Call","Bezeichnung",$S108)</f>
        <v>HORIZON-MSCA-2024-SE-01</v>
      </c>
      <c r="U108" s="618">
        <f t="shared" ca="1" si="21"/>
        <v>23</v>
      </c>
    </row>
    <row r="109" spans="1:21" s="618" customFormat="1">
      <c r="A109" s="617"/>
      <c r="D109" s="686"/>
      <c r="E109" s="666"/>
      <c r="F109" s="666"/>
      <c r="G109" s="666"/>
      <c r="S109"/>
      <c r="T109" s="619"/>
    </row>
    <row r="110" spans="1:21" s="618" customFormat="1">
      <c r="A110" s="617"/>
      <c r="D110" s="686"/>
      <c r="E110" s="666"/>
      <c r="F110" s="666"/>
      <c r="G110" s="666"/>
      <c r="S110"/>
      <c r="T110" s="619"/>
    </row>
    <row r="111" spans="1:21" s="618" customFormat="1" hidden="1">
      <c r="A111" s="617" t="b">
        <f ca="1">_xll.PALO.HIDEROW(ISBLANK($A$1))</f>
        <v>1</v>
      </c>
      <c r="S111"/>
      <c r="T111"/>
      <c r="U111" s="618">
        <f t="shared" si="17"/>
        <v>0</v>
      </c>
    </row>
    <row r="112" spans="1:21" s="618" customFormat="1" hidden="1">
      <c r="A112" s="617" t="b">
        <f ca="1">_xll.PALO.HIDEROW(ISBLANK($A$1))</f>
        <v>1</v>
      </c>
      <c r="S112"/>
      <c r="T112"/>
      <c r="U112" s="618">
        <f t="shared" si="17"/>
        <v>0</v>
      </c>
    </row>
    <row r="113" spans="1:34" s="618" customFormat="1" hidden="1">
      <c r="A113" s="617" t="b">
        <f ca="1">_xll.PALO.HIDEROW(ISBLANK($A$1))</f>
        <v>1</v>
      </c>
      <c r="S113" s="617"/>
      <c r="T113" s="619"/>
      <c r="U113" s="618">
        <f t="shared" si="17"/>
        <v>0</v>
      </c>
    </row>
    <row r="114" spans="1:34" s="618" customFormat="1" hidden="1">
      <c r="A114" s="617" t="b">
        <f ca="1">_xll.PALO.HIDEROW(ISBLANK($A$1))</f>
        <v>1</v>
      </c>
      <c r="C114" s="630"/>
      <c r="D114" s="629"/>
      <c r="E114" s="628" t="s">
        <v>1</v>
      </c>
      <c r="F114" s="628" t="s">
        <v>109</v>
      </c>
      <c r="G114" s="628" t="s">
        <v>3</v>
      </c>
      <c r="S114" s="617"/>
      <c r="T114" s="619"/>
      <c r="U114" s="618">
        <f t="shared" si="17"/>
        <v>0</v>
      </c>
    </row>
    <row r="115" spans="1:34" s="618" customFormat="1" hidden="1">
      <c r="A115" s="617" t="b">
        <f ca="1">_xll.PALO.HIDEROW(ISBLANK($A$1))</f>
        <v>1</v>
      </c>
      <c r="C115" s="61">
        <v>6157</v>
      </c>
      <c r="D115" s="627" t="str">
        <f ca="1">_xll.PALO.DATA("jedoxtest/EU_PM_CUBE02","#_Programme","Langbezeichnung",$C115)</f>
        <v>Research infrastructures</v>
      </c>
      <c r="E115" s="626">
        <f ca="1">_xll.PALO.DATAC("jedoxtest/EU_PM_CUBE02","EUPM_Mittel2_Cube",AT_ExSc_Datenstand,"Alle Beteiligungen","Alle Koordinatoren","Alle Unternehmensgrößen","-2","Alle Organisationstypen",28,"Alle Expertevaluierungsstatus",$C115,"-2",1,"-2","Alle","-2",E$8)</f>
        <v>123</v>
      </c>
      <c r="F115" s="626">
        <f ca="1">_xll.PALO.DATAC("jedoxtest/EU_PM_CUBE02","EUPM_Mittel2_Cube",AT_ExSc_Datenstand,"Alle Beteiligungen","Alle Koordinatoren","Alle Unternehmensgrößen","-2","Alle Organisationstypen",28,"Alle Expertevaluierungsstatus",$C115,"-2",1,"-2","Alle","-2",F$8)</f>
        <v>35791437.700000003</v>
      </c>
      <c r="G115" s="626">
        <f ca="1">_xll.PALO.DATAC("jedoxtest/EU_PM_CUBE02","EUPM_Mittel2_Cube",AT_ExSc_Datenstand,"Alle Beteiligungen","Alle Koordinatoren","Alle Unternehmensgrößen","-2","Alle Organisationstypen",28,"Alle Expertevaluierungsstatus",$C115,"-2",1,"-2","Alle","-2",G$8)</f>
        <v>6</v>
      </c>
      <c r="I115" s="625">
        <f ca="1">E117+E125+E136+E144+E152+E160</f>
        <v>94</v>
      </c>
      <c r="J115" s="625">
        <f ca="1">F117+F125+F136+F144+F152+F160</f>
        <v>29789472.34</v>
      </c>
      <c r="Q115" s="625">
        <f>M117+M125+M136+M144+M152+M160</f>
        <v>0</v>
      </c>
      <c r="S115" s="617"/>
      <c r="T115" s="617"/>
      <c r="U115" s="618">
        <f t="shared" si="17"/>
        <v>0</v>
      </c>
      <c r="V115" s="617"/>
      <c r="W115" s="617"/>
    </row>
    <row r="116" spans="1:34" s="618" customFormat="1" hidden="1">
      <c r="A116" s="617" t="b">
        <f ca="1">_xll.PALO.HIDEROW(ISBLANK($A$1))</f>
        <v>1</v>
      </c>
      <c r="S116" s="617"/>
      <c r="T116" s="617"/>
      <c r="U116" s="618">
        <f t="shared" si="17"/>
        <v>0</v>
      </c>
      <c r="V116" s="617"/>
      <c r="W116" s="617"/>
    </row>
    <row r="117" spans="1:34" s="618" customFormat="1" hidden="1">
      <c r="A117" s="617" t="b">
        <f ca="1">_xll.PALO.HIDEROW(ISBLANK($A$1))</f>
        <v>1</v>
      </c>
      <c r="D117" s="623" t="str">
        <f>T117</f>
        <v>INFRADEV</v>
      </c>
      <c r="E117" s="622">
        <f ca="1">SUM(E118:E123)</f>
        <v>24</v>
      </c>
      <c r="F117" s="622">
        <f ca="1">SUM(F118:F123)</f>
        <v>6082091.5099999998</v>
      </c>
      <c r="G117" s="622">
        <f ca="1">SUM(G118:G123)</f>
        <v>2</v>
      </c>
      <c r="S117" s="617"/>
      <c r="T117" s="619" t="s">
        <v>318</v>
      </c>
      <c r="U117" s="618">
        <f t="shared" si="17"/>
        <v>8</v>
      </c>
      <c r="V117" s="617"/>
      <c r="W117" s="617"/>
      <c r="Y117"/>
    </row>
    <row r="118" spans="1:34" s="618" customFormat="1" hidden="1">
      <c r="A118" s="617" t="b">
        <f ca="1">_xll.PALO.HIDEROW(ISBLANK($A$1))</f>
        <v>1</v>
      </c>
      <c r="D118" s="621" t="str">
        <f t="shared" ref="D118:D123" ca="1" si="22">MID(T118,9,U118-8)</f>
        <v>INFRA-2021-DEV-01</v>
      </c>
      <c r="E118" s="620">
        <f ca="1">_xll.PALO.DATAC("jedoxtest/EU_PM_CUBE02","EUPM_Mittel2_Cube",AT_ExSc_Datenstand,"Alle Beteiligungen","Alle Koordinatoren","Alle Unternehmensgrößen","-2","Alle Organisationstypen",28,"Alle Expertevaluierungsstatus","-2","-2",1,"-2","Alle",$S118,E$8)</f>
        <v>3</v>
      </c>
      <c r="F118" s="620">
        <f ca="1">_xll.PALO.DATAC("jedoxtest/EU_PM_CUBE02","EUPM_Mittel2_Cube",AT_ExSc_Datenstand,"Alle Beteiligungen","Alle Koordinatoren","Alle Unternehmensgrößen","-2","Alle Organisationstypen",28,"Alle Expertevaluierungsstatus","-2","-2",1,"-2","Alle",$S118,F$8)</f>
        <v>101375</v>
      </c>
      <c r="G118" s="620">
        <f ca="1">_xll.PALO.DATAC("jedoxtest/EU_PM_CUBE02","EUPM_Mittel2_Cube",AT_ExSc_Datenstand,"Alle Beteiligungen","Alle Koordinatoren","Alle Unternehmensgrößen","-2","Alle Organisationstypen",28,"Alle Expertevaluierungsstatus","-2","-2",1,"-2","Alle",$S118,G$8)</f>
        <v>0</v>
      </c>
      <c r="S118" s="664">
        <v>2594</v>
      </c>
      <c r="T118" s="619" t="str">
        <f ca="1">_xll.PALO.DATA("jedoxtest/EU_PM_CUBE02","#_Call","Bezeichnung",$S118)</f>
        <v>HORIZON-INFRA-2021-DEV-01</v>
      </c>
      <c r="U118" s="618">
        <f t="shared" ca="1" si="17"/>
        <v>25</v>
      </c>
      <c r="V118" s="617"/>
      <c r="W118" s="617"/>
      <c r="Y118">
        <v>5352</v>
      </c>
      <c r="AA118" s="619" t="str">
        <f ca="1">_xll.PALO.DATA("jedoxtest/EU_PM_CUBE02","#_Call","Bezeichnung",Y118)</f>
        <v>HORIZON-EURATOM-HORIZONTAL-2025-09-IBA</v>
      </c>
    </row>
    <row r="119" spans="1:34" s="618" customFormat="1" hidden="1">
      <c r="A119" s="617" t="b">
        <f ca="1">_xll.PALO.HIDEROW(ISBLANK($A$1))</f>
        <v>1</v>
      </c>
      <c r="D119" s="621" t="str">
        <f t="shared" ca="1" si="22"/>
        <v>INFRA-2021-DEV-02</v>
      </c>
      <c r="E119" s="620">
        <f ca="1">_xll.PALO.DATAC("jedoxtest/EU_PM_CUBE02","EUPM_Mittel2_Cube",AT_ExSc_Datenstand,"Alle Beteiligungen","Alle Koordinatoren","Alle Unternehmensgrößen","-2","Alle Organisationstypen",28,"Alle Expertevaluierungsstatus","-2","-2",1,"-2","Alle",$S119,E$8)</f>
        <v>4</v>
      </c>
      <c r="F119" s="620">
        <f ca="1">_xll.PALO.DATAC("jedoxtest/EU_PM_CUBE02","EUPM_Mittel2_Cube",AT_ExSc_Datenstand,"Alle Beteiligungen","Alle Koordinatoren","Alle Unternehmensgrößen","-2","Alle Organisationstypen",28,"Alle Expertevaluierungsstatus","-2","-2",1,"-2","Alle",$S119,F$8)</f>
        <v>428350</v>
      </c>
      <c r="G119" s="620">
        <f ca="1">_xll.PALO.DATAC("jedoxtest/EU_PM_CUBE02","EUPM_Mittel2_Cube",AT_ExSc_Datenstand,"Alle Beteiligungen","Alle Koordinatoren","Alle Unternehmensgrößen","-2","Alle Organisationstypen",28,"Alle Expertevaluierungsstatus","-2","-2",1,"-2","Alle",$S119,G$8)</f>
        <v>0</v>
      </c>
      <c r="S119" s="664">
        <v>2644</v>
      </c>
      <c r="T119" s="619" t="str">
        <f ca="1">_xll.PALO.DATA("jedoxtest/EU_PM_CUBE02","#_Call","Bezeichnung",$S119)</f>
        <v>HORIZON-INFRA-2021-DEV-02</v>
      </c>
      <c r="U119" s="618">
        <f t="shared" ca="1" si="17"/>
        <v>25</v>
      </c>
      <c r="V119" s="617"/>
      <c r="W119" s="617"/>
      <c r="Y119">
        <v>5325</v>
      </c>
      <c r="AA119" s="619" t="str">
        <f ca="1">_xll.PALO.DATA("jedoxtest/EU_PM_CUBE02","#_Call","Bezeichnung",Y119)</f>
        <v>HORIZON-INFRA-2025-01</v>
      </c>
    </row>
    <row r="120" spans="1:34" s="618" customFormat="1" hidden="1">
      <c r="A120" s="617" t="b">
        <f ca="1">_xll.PALO.HIDEROW(ISBLANK($A$1))</f>
        <v>1</v>
      </c>
      <c r="D120" s="621" t="str">
        <f t="shared" ca="1" si="22"/>
        <v>INFRA-2022-DEV-01</v>
      </c>
      <c r="E120" s="620">
        <f ca="1">_xll.PALO.DATAC("jedoxtest/EU_PM_CUBE02","EUPM_Mittel2_Cube",AT_ExSc_Datenstand,"Alle Beteiligungen","Alle Koordinatoren","Alle Unternehmensgrößen","-2","Alle Organisationstypen",28,"Alle Expertevaluierungsstatus","-2","-2",1,"-2","Alle",$S120,E$8)</f>
        <v>0</v>
      </c>
      <c r="F120" s="620">
        <f ca="1">_xll.PALO.DATAC("jedoxtest/EU_PM_CUBE02","EUPM_Mittel2_Cube",AT_ExSc_Datenstand,"Alle Beteiligungen","Alle Koordinatoren","Alle Unternehmensgrößen","-2","Alle Organisationstypen",28,"Alle Expertevaluierungsstatus","-2","-2",1,"-2","Alle",$S120,F$8)</f>
        <v>0</v>
      </c>
      <c r="G120" s="620">
        <f ca="1">_xll.PALO.DATAC("jedoxtest/EU_PM_CUBE02","EUPM_Mittel2_Cube",AT_ExSc_Datenstand,"Alle Beteiligungen","Alle Koordinatoren","Alle Unternehmensgrößen","-2","Alle Organisationstypen",28,"Alle Expertevaluierungsstatus","-2","-2",1,"-2","Alle",$S120,G$8)</f>
        <v>0</v>
      </c>
      <c r="S120" s="664">
        <v>2769</v>
      </c>
      <c r="T120" s="619" t="str">
        <f ca="1">_xll.PALO.DATA("jedoxtest/EU_PM_CUBE02","#_Call","Bezeichnung",$S120)</f>
        <v>HORIZON-INFRA-2022-DEV-01</v>
      </c>
      <c r="U120" s="618">
        <f t="shared" ca="1" si="17"/>
        <v>25</v>
      </c>
      <c r="V120" s="617"/>
      <c r="W120" s="617"/>
      <c r="Y120"/>
      <c r="AA120" s="619" t="str">
        <f ca="1">_xll.PALO.DATA("jedoxtest/EU_PM_CUBE02","#_Call","Bezeichnung",Y120)</f>
        <v/>
      </c>
      <c r="AH120" s="618" t="s">
        <v>426</v>
      </c>
    </row>
    <row r="121" spans="1:34" s="618" customFormat="1" hidden="1">
      <c r="A121" s="617" t="b">
        <f ca="1">_xll.PALO.HIDEROW(ISBLANK($A$1))</f>
        <v>1</v>
      </c>
      <c r="D121" s="621" t="str">
        <f t="shared" ca="1" si="22"/>
        <v>INFRA-2023-DEV-01</v>
      </c>
      <c r="E121" s="620">
        <f ca="1">_xll.PALO.DATAC("jedoxtest/EU_PM_CUBE02","EUPM_Mittel2_Cube",AT_ExSc_Datenstand,"Alle Beteiligungen","Alle Koordinatoren","Alle Unternehmensgrößen","-2","Alle Organisationstypen",28,"Alle Expertevaluierungsstatus","-2","-2",1,"-2","Alle",$S121,E$8)</f>
        <v>11</v>
      </c>
      <c r="F121" s="620">
        <f ca="1">_xll.PALO.DATAC("jedoxtest/EU_PM_CUBE02","EUPM_Mittel2_Cube",AT_ExSc_Datenstand,"Alle Beteiligungen","Alle Koordinatoren","Alle Unternehmensgrößen","-2","Alle Organisationstypen",28,"Alle Expertevaluierungsstatus","-2","-2",1,"-2","Alle",$S121,F$8)</f>
        <v>4274437.76</v>
      </c>
      <c r="G121" s="620">
        <f ca="1">_xll.PALO.DATAC("jedoxtest/EU_PM_CUBE02","EUPM_Mittel2_Cube",AT_ExSc_Datenstand,"Alle Beteiligungen","Alle Koordinatoren","Alle Unternehmensgrößen","-2","Alle Organisationstypen",28,"Alle Expertevaluierungsstatus","-2","-2",1,"-2","Alle",$S121,G$8)</f>
        <v>2</v>
      </c>
      <c r="S121">
        <v>2935</v>
      </c>
      <c r="T121" s="619" t="str">
        <f ca="1">_xll.PALO.DATA("jedoxtest/EU_PM_CUBE02","#_Call","Bezeichnung",$S121)</f>
        <v>HORIZON-INFRA-2023-DEV-01</v>
      </c>
      <c r="U121" s="618">
        <f t="shared" ca="1" si="17"/>
        <v>25</v>
      </c>
      <c r="V121" s="617"/>
      <c r="W121" s="617"/>
      <c r="Y121"/>
      <c r="AA121" s="619" t="str">
        <f ca="1">_xll.PALO.DATA("jedoxtest/EU_PM_CUBE02","#_Call","Bezeichnung",Y121)</f>
        <v/>
      </c>
      <c r="AH121" s="618" t="s">
        <v>427</v>
      </c>
    </row>
    <row r="122" spans="1:34" s="618" customFormat="1" hidden="1">
      <c r="A122" s="617" t="b">
        <f ca="1">_xll.PALO.HIDEROW(ISBLANK($A$1))</f>
        <v>1</v>
      </c>
      <c r="D122" s="621" t="str">
        <f t="shared" ca="1" si="22"/>
        <v>INFRA-2024-DEV-01</v>
      </c>
      <c r="E122" s="620">
        <f ca="1">_xll.PALO.DATAC("jedoxtest/EU_PM_CUBE02","EUPM_Mittel2_Cube",AT_ExSc_Datenstand,"Alle Beteiligungen","Alle Koordinatoren","Alle Unternehmensgrößen","-2","Alle Organisationstypen",28,"Alle Expertevaluierungsstatus","-2","-2",1,"-2","Alle",$S122,E$8)</f>
        <v>6</v>
      </c>
      <c r="F122" s="620">
        <f ca="1">_xll.PALO.DATAC("jedoxtest/EU_PM_CUBE02","EUPM_Mittel2_Cube",AT_ExSc_Datenstand,"Alle Beteiligungen","Alle Koordinatoren","Alle Unternehmensgrößen","-2","Alle Organisationstypen",28,"Alle Expertevaluierungsstatus","-2","-2",1,"-2","Alle",$S122,F$8)</f>
        <v>1277928.75</v>
      </c>
      <c r="G122" s="620">
        <f ca="1">_xll.PALO.DATAC("jedoxtest/EU_PM_CUBE02","EUPM_Mittel2_Cube",AT_ExSc_Datenstand,"Alle Beteiligungen","Alle Koordinatoren","Alle Unternehmensgrößen","-2","Alle Organisationstypen",28,"Alle Expertevaluierungsstatus","-2","-2",1,"-2","Alle",$S122,G$8)</f>
        <v>0</v>
      </c>
      <c r="S122">
        <v>3071</v>
      </c>
      <c r="T122" s="585" t="str">
        <f ca="1">_xll.PALO.DATA("jedoxtest/EU_PM_CUBE02","#_Call","Bezeichnung",$S122)</f>
        <v>HORIZON-INFRA-2024-DEV-01</v>
      </c>
      <c r="U122" s="618">
        <f t="shared" ca="1" si="17"/>
        <v>25</v>
      </c>
      <c r="V122" s="617" t="s">
        <v>391</v>
      </c>
      <c r="W122" s="617"/>
      <c r="Y122"/>
      <c r="AA122" s="619" t="str">
        <f ca="1">_xll.PALO.DATA("jedoxtest/EU_PM_CUBE02","#_Call","Bezeichnung",Y122)</f>
        <v/>
      </c>
    </row>
    <row r="123" spans="1:34" s="618" customFormat="1" hidden="1">
      <c r="A123" s="617" t="b">
        <f ca="1">_xll.PALO.HIDEROW(ISBLANK($A$1))</f>
        <v>1</v>
      </c>
      <c r="D123" s="621" t="str">
        <f t="shared" si="22"/>
        <v>INFRA-2024-DEV-02</v>
      </c>
      <c r="E123" s="620">
        <f ca="1">_xll.PALO.DATAC("jedoxtest/EU_PM_CUBE02","EUPM_Mittel2_Cube",AT_ExSc_Datenstand,"Alle Beteiligungen","Alle Koordinatoren","Alle Unternehmensgrößen","-2","Alle Organisationstypen",28,"Alle Expertevaluierungsstatus","-2","-2",1,"-2","Alle",$S123,E$8)</f>
        <v>0</v>
      </c>
      <c r="F123" s="620">
        <f ca="1">_xll.PALO.DATAC("jedoxtest/EU_PM_CUBE02","EUPM_Mittel2_Cube",AT_ExSc_Datenstand,"Alle Beteiligungen","Alle Koordinatoren","Alle Unternehmensgrößen","-2","Alle Organisationstypen",28,"Alle Expertevaluierungsstatus","-2","-2",1,"-2","Alle",$S123,F$8)</f>
        <v>0</v>
      </c>
      <c r="G123" s="620">
        <f ca="1">_xll.PALO.DATAC("jedoxtest/EU_PM_CUBE02","EUPM_Mittel2_Cube",AT_ExSc_Datenstand,"Alle Beteiligungen","Alle Koordinatoren","Alle Unternehmensgrößen","-2","Alle Organisationstypen",28,"Alle Expertevaluierungsstatus","-2","-2",1,"-2","Alle",$S123,G$8)</f>
        <v>0</v>
      </c>
      <c r="S123">
        <v>5203</v>
      </c>
      <c r="T123" t="s">
        <v>390</v>
      </c>
      <c r="U123" s="618">
        <f t="shared" si="17"/>
        <v>25</v>
      </c>
      <c r="V123" t="s">
        <v>390</v>
      </c>
      <c r="W123" s="617"/>
      <c r="Y123"/>
      <c r="AA123" s="619" t="str">
        <f ca="1">_xll.PALO.DATA("jedoxtest/EU_PM_CUBE02","#_Call","Bezeichnung",Y123)</f>
        <v/>
      </c>
    </row>
    <row r="124" spans="1:34" s="618" customFormat="1" hidden="1">
      <c r="A124" s="617" t="b">
        <f ca="1">_xll.PALO.HIDEROW(ISBLANK($A$1))</f>
        <v>1</v>
      </c>
      <c r="D124" s="624"/>
      <c r="E124" s="624"/>
      <c r="F124" s="624"/>
      <c r="G124" s="624"/>
      <c r="S124"/>
      <c r="T124"/>
      <c r="V124" s="617"/>
      <c r="W124" s="617"/>
      <c r="Y124"/>
      <c r="AA124" s="619" t="str">
        <f ca="1">_xll.PALO.DATA("jedoxtest/EU_PM_CUBE02","#_Call","Bezeichnung",Y124)</f>
        <v/>
      </c>
    </row>
    <row r="125" spans="1:34" s="618" customFormat="1" hidden="1">
      <c r="A125" s="617" t="b">
        <f ca="1">_xll.PALO.HIDEROW(ISBLANK($A$1))</f>
        <v>1</v>
      </c>
      <c r="D125" s="623" t="str">
        <f>T125</f>
        <v>EOSC</v>
      </c>
      <c r="E125" s="622">
        <f ca="1">SUM(E126:E132)</f>
        <v>18</v>
      </c>
      <c r="F125" s="622">
        <f ca="1">SUM(F126:F132)</f>
        <v>4128672.75</v>
      </c>
      <c r="G125" s="622">
        <f ca="1">SUM(G126:G133)</f>
        <v>0</v>
      </c>
      <c r="S125"/>
      <c r="T125" s="585" t="s">
        <v>313</v>
      </c>
      <c r="U125" s="618">
        <f t="shared" ref="U125:U131" si="23">LEN(T125)</f>
        <v>4</v>
      </c>
      <c r="V125" s="617"/>
      <c r="W125" s="617"/>
      <c r="Y125"/>
      <c r="AA125" s="619" t="str">
        <f ca="1">_xll.PALO.DATA("jedoxtest/EU_PM_CUBE02","#_Call","Bezeichnung",Y125)</f>
        <v/>
      </c>
    </row>
    <row r="126" spans="1:34" s="618" customFormat="1" hidden="1">
      <c r="A126" s="617" t="b">
        <f ca="1">_xll.PALO.HIDEROW(ISBLANK($A$1))</f>
        <v>1</v>
      </c>
      <c r="D126" s="621" t="str">
        <f t="shared" ref="D126:D131" ca="1" si="24">MID(T126,9,U126-8)</f>
        <v>INFRA-2021-EOSC-01</v>
      </c>
      <c r="E126" s="620">
        <f ca="1">_xll.PALO.DATAC("jedoxtest/EU_PM_CUBE02","EUPM_Mittel2_Cube",AT_ExSc_Datenstand,"Alle Beteiligungen","Alle Koordinatoren","Alle Unternehmensgrößen","-2","Alle Organisationstypen",28,"Alle Expertevaluierungsstatus","-2","-2",1,"-2","Alle",$S126,E$8)</f>
        <v>5</v>
      </c>
      <c r="F126" s="620">
        <f ca="1">_xll.PALO.DATAC("jedoxtest/EU_PM_CUBE02","EUPM_Mittel2_Cube",AT_ExSc_Datenstand,"Alle Beteiligungen","Alle Koordinatoren","Alle Unternehmensgrößen","-2","Alle Organisationstypen",28,"Alle Expertevaluierungsstatus","-2","-2",1,"-2","Alle",$S126,F$8)</f>
        <v>1856069</v>
      </c>
      <c r="G126" s="620">
        <f ca="1">_xll.PALO.DATAC("jedoxtest/EU_PM_CUBE02","EUPM_Mittel2_Cube",AT_ExSc_Datenstand,"Alle Beteiligungen","Alle Koordinatoren","Alle Unternehmensgrößen","-2","Alle Organisationstypen",28,"Alle Expertevaluierungsstatus","-2","-2",1,"-2","Alle",$S126,G$8)</f>
        <v>0</v>
      </c>
      <c r="S126" s="664">
        <v>2597</v>
      </c>
      <c r="T126" s="585" t="str">
        <f ca="1">_xll.PALO.DATA("jedoxtest/EU_PM_CUBE02","#_Call","Bezeichnung",$S126)</f>
        <v>HORIZON-INFRA-2021-EOSC-01</v>
      </c>
      <c r="U126" s="618">
        <f t="shared" ca="1" si="23"/>
        <v>26</v>
      </c>
      <c r="V126" s="617"/>
      <c r="W126" s="617"/>
      <c r="Y126"/>
      <c r="AA126" s="619" t="str">
        <f ca="1">_xll.PALO.DATA("jedoxtest/EU_PM_CUBE02","#_Call","Bezeichnung",Y126)</f>
        <v/>
      </c>
    </row>
    <row r="127" spans="1:34" s="618" customFormat="1" hidden="1">
      <c r="A127" s="617" t="b">
        <f ca="1">_xll.PALO.HIDEROW(ISBLANK($A$1))</f>
        <v>1</v>
      </c>
      <c r="D127" s="621" t="str">
        <f t="shared" ca="1" si="24"/>
        <v>INFRA-2022-EOSC-01</v>
      </c>
      <c r="E127" s="620">
        <f ca="1">_xll.PALO.DATAC("jedoxtest/EU_PM_CUBE02","EUPM_Mittel2_Cube",AT_ExSc_Datenstand,"Alle Beteiligungen","Alle Koordinatoren","Alle Unternehmensgrößen","-2","Alle Organisationstypen",28,"Alle Expertevaluierungsstatus","-2","-2",1,"-2","Alle",$S127,E$8)</f>
        <v>1</v>
      </c>
      <c r="F127" s="620">
        <f ca="1">_xll.PALO.DATAC("jedoxtest/EU_PM_CUBE02","EUPM_Mittel2_Cube",AT_ExSc_Datenstand,"Alle Beteiligungen","Alle Koordinatoren","Alle Unternehmensgrößen","-2","Alle Organisationstypen",28,"Alle Expertevaluierungsstatus","-2","-2",1,"-2","Alle",$S127,F$8)</f>
        <v>328750</v>
      </c>
      <c r="G127" s="620">
        <f ca="1">_xll.PALO.DATAC("jedoxtest/EU_PM_CUBE02","EUPM_Mittel2_Cube",AT_ExSc_Datenstand,"Alle Beteiligungen","Alle Koordinatoren","Alle Unternehmensgrößen","-2","Alle Organisationstypen",28,"Alle Expertevaluierungsstatus","-2","-2",1,"-2","Alle",$S127,G$8)</f>
        <v>0</v>
      </c>
      <c r="S127" s="664">
        <v>2770</v>
      </c>
      <c r="T127" s="585" t="str">
        <f ca="1">_xll.PALO.DATA("jedoxtest/EU_PM_CUBE02","#_Call","Bezeichnung",$S127)</f>
        <v>HORIZON-INFRA-2022-EOSC-01</v>
      </c>
      <c r="U127" s="618">
        <f t="shared" ca="1" si="23"/>
        <v>26</v>
      </c>
      <c r="V127" s="617"/>
      <c r="W127" s="617"/>
    </row>
    <row r="128" spans="1:34" s="618" customFormat="1" hidden="1">
      <c r="A128" s="617" t="b">
        <f ca="1">_xll.PALO.HIDEROW(ISBLANK($A$1))</f>
        <v>1</v>
      </c>
      <c r="D128" s="621" t="str">
        <f t="shared" ca="1" si="24"/>
        <v>INFRA-2023-EOSC-REP-ART195-IBA</v>
      </c>
      <c r="E128" s="620">
        <f ca="1">_xll.PALO.DATAC("jedoxtest/EU_PM_CUBE02","EUPM_Mittel2_Cube",AT_ExSc_Datenstand,"Alle Beteiligungen","Alle Koordinatoren","Alle Unternehmensgrößen","-2","Alle Organisationstypen",28,"Alle Expertevaluierungsstatus","-2","-2",1,"-2","Alle",$S128,E$8)</f>
        <v>0</v>
      </c>
      <c r="F128" s="620">
        <f ca="1">_xll.PALO.DATAC("jedoxtest/EU_PM_CUBE02","EUPM_Mittel2_Cube",AT_ExSc_Datenstand,"Alle Beteiligungen","Alle Koordinatoren","Alle Unternehmensgrößen","-2","Alle Organisationstypen",28,"Alle Expertevaluierungsstatus","-2","-2",1,"-2","Alle",$S128,F$8)</f>
        <v>0</v>
      </c>
      <c r="G128" s="620">
        <f ca="1">_xll.PALO.DATAC("jedoxtest/EU_PM_CUBE02","EUPM_Mittel2_Cube",AT_ExSc_Datenstand,"Alle Beteiligungen","Alle Koordinatoren","Alle Unternehmensgrößen","-2","Alle Organisationstypen",28,"Alle Expertevaluierungsstatus","-2","-2",1,"-2","Alle",$S128,G$8)</f>
        <v>0</v>
      </c>
      <c r="S128" s="664">
        <v>2868</v>
      </c>
      <c r="T128" s="585" t="str">
        <f ca="1">_xll.PALO.DATA("jedoxtest/EU_PM_CUBE02","#_Call","Bezeichnung",$S128)</f>
        <v>HORIZON-INFRA-2023-EOSC-REP-ART195-IBA</v>
      </c>
      <c r="U128" s="618">
        <f t="shared" ca="1" si="23"/>
        <v>38</v>
      </c>
      <c r="V128" s="617"/>
      <c r="W128" s="617"/>
    </row>
    <row r="129" spans="1:23" s="618" customFormat="1" hidden="1">
      <c r="A129" s="617" t="b">
        <f ca="1">_xll.PALO.HIDEROW(ISBLANK($A$1))</f>
        <v>1</v>
      </c>
      <c r="D129" s="621" t="str">
        <f t="shared" ca="1" si="24"/>
        <v>INFRA-2023-EOSC-01</v>
      </c>
      <c r="E129" s="620">
        <f ca="1">_xll.PALO.DATAC("jedoxtest/EU_PM_CUBE02","EUPM_Mittel2_Cube",AT_ExSc_Datenstand,"Alle Beteiligungen","Alle Koordinatoren","Alle Unternehmensgrößen","-2","Alle Organisationstypen",28,"Alle Expertevaluierungsstatus","-2","-2",1,"-2","Alle",$S129,E$8)</f>
        <v>7</v>
      </c>
      <c r="F129" s="620">
        <f ca="1">_xll.PALO.DATAC("jedoxtest/EU_PM_CUBE02","EUPM_Mittel2_Cube",AT_ExSc_Datenstand,"Alle Beteiligungen","Alle Koordinatoren","Alle Unternehmensgrößen","-2","Alle Organisationstypen",28,"Alle Expertevaluierungsstatus","-2","-2",1,"-2","Alle",$S129,F$8)</f>
        <v>751375</v>
      </c>
      <c r="G129" s="620">
        <f ca="1">_xll.PALO.DATAC("jedoxtest/EU_PM_CUBE02","EUPM_Mittel2_Cube",AT_ExSc_Datenstand,"Alle Beteiligungen","Alle Koordinatoren","Alle Unternehmensgrößen","-2","Alle Organisationstypen",28,"Alle Expertevaluierungsstatus","-2","-2",1,"-2","Alle",$S129,G$8)</f>
        <v>0</v>
      </c>
      <c r="S129">
        <v>2936</v>
      </c>
      <c r="T129" s="585" t="str">
        <f ca="1">_xll.PALO.DATA("jedoxtest/EU_PM_CUBE02","#_Call","Bezeichnung",$S129)</f>
        <v>HORIZON-INFRA-2023-EOSC-01</v>
      </c>
      <c r="U129" s="618">
        <f t="shared" ca="1" si="23"/>
        <v>26</v>
      </c>
      <c r="V129" s="617"/>
      <c r="W129" s="617"/>
    </row>
    <row r="130" spans="1:23" s="618" customFormat="1" hidden="1">
      <c r="A130" s="617" t="b">
        <f ca="1">_xll.PALO.HIDEROW(ISBLANK($A$1))</f>
        <v>1</v>
      </c>
      <c r="D130" s="621" t="str">
        <f t="shared" ca="1" si="24"/>
        <v>INFRA-2023-EOSC-MONIT-IBA</v>
      </c>
      <c r="E130" s="620">
        <f ca="1">_xll.PALO.DATAC("jedoxtest/EU_PM_CUBE02","EUPM_Mittel2_Cube",AT_ExSc_Datenstand,"Alle Beteiligungen","Alle Koordinatoren","Alle Unternehmensgrößen","-2","Alle Organisationstypen",28,"Alle Expertevaluierungsstatus","-2","-2",1,"-2","Alle",$S130,E$8)</f>
        <v>0</v>
      </c>
      <c r="F130" s="620">
        <f ca="1">_xll.PALO.DATAC("jedoxtest/EU_PM_CUBE02","EUPM_Mittel2_Cube",AT_ExSc_Datenstand,"Alle Beteiligungen","Alle Koordinatoren","Alle Unternehmensgrößen","-2","Alle Organisationstypen",28,"Alle Expertevaluierungsstatus","-2","-2",1,"-2","Alle",$S130,F$8)</f>
        <v>0</v>
      </c>
      <c r="G130" s="620">
        <f ca="1">_xll.PALO.DATAC("jedoxtest/EU_PM_CUBE02","EUPM_Mittel2_Cube",AT_ExSc_Datenstand,"Alle Beteiligungen","Alle Koordinatoren","Alle Unternehmensgrößen","-2","Alle Organisationstypen",28,"Alle Expertevaluierungsstatus","-2","-2",1,"-2","Alle",$S130,G$8)</f>
        <v>0</v>
      </c>
      <c r="S130">
        <v>2987</v>
      </c>
      <c r="T130" s="585" t="str">
        <f ca="1">_xll.PALO.DATA("jedoxtest/EU_PM_CUBE02","#_Call","Bezeichnung",$S130)</f>
        <v>HORIZON-INFRA-2023-EOSC-MONIT-IBA</v>
      </c>
      <c r="U130" s="618">
        <f t="shared" ca="1" si="23"/>
        <v>33</v>
      </c>
      <c r="V130" s="617"/>
      <c r="W130" s="617"/>
    </row>
    <row r="131" spans="1:23" s="618" customFormat="1" hidden="1">
      <c r="A131" s="617" t="b">
        <f ca="1">_xll.PALO.HIDEROW(ISBLANK($A$1))</f>
        <v>1</v>
      </c>
      <c r="D131" s="621" t="str">
        <f t="shared" ca="1" si="24"/>
        <v>INFRA-2024-EOSC-01</v>
      </c>
      <c r="E131" s="620">
        <f ca="1">_xll.PALO.DATAC("jedoxtest/EU_PM_CUBE02","EUPM_Mittel2_Cube",AT_ExSc_Datenstand,"Alle Beteiligungen","Alle Koordinatoren","Alle Unternehmensgrößen","-2","Alle Organisationstypen",28,"Alle Expertevaluierungsstatus","-2","-2",1,"-2","Alle",$S131,E$8)</f>
        <v>5</v>
      </c>
      <c r="F131" s="620">
        <f ca="1">_xll.PALO.DATAC("jedoxtest/EU_PM_CUBE02","EUPM_Mittel2_Cube",AT_ExSc_Datenstand,"Alle Beteiligungen","Alle Koordinatoren","Alle Unternehmensgrößen","-2","Alle Organisationstypen",28,"Alle Expertevaluierungsstatus","-2","-2",1,"-2","Alle",$S131,F$8)</f>
        <v>1192478.75</v>
      </c>
      <c r="G131" s="620">
        <f ca="1">_xll.PALO.DATAC("jedoxtest/EU_PM_CUBE02","EUPM_Mittel2_Cube",AT_ExSc_Datenstand,"Alle Beteiligungen","Alle Koordinatoren","Alle Unternehmensgrößen","-2","Alle Organisationstypen",28,"Alle Expertevaluierungsstatus","-2","-2",1,"-2","Alle",$S131,G$8)</f>
        <v>0</v>
      </c>
      <c r="S131">
        <v>3072</v>
      </c>
      <c r="T131" s="585" t="str">
        <f ca="1">_xll.PALO.DATA("jedoxtest/EU_PM_CUBE02","#_Call","Bezeichnung",$S131)</f>
        <v>HORIZON-INFRA-2024-EOSC-01</v>
      </c>
      <c r="U131" s="618">
        <f t="shared" ca="1" si="23"/>
        <v>26</v>
      </c>
      <c r="V131" s="617" t="s">
        <v>392</v>
      </c>
      <c r="W131" s="617"/>
    </row>
    <row r="132" spans="1:23" s="618" customFormat="1" hidden="1">
      <c r="A132" s="617" t="b">
        <f ca="1">_xll.PALO.HIDEROW(ISBLANK($A$1))</f>
        <v>1</v>
      </c>
      <c r="D132" s="621" t="str">
        <f t="shared" ref="D132" ca="1" si="25">MID(T132,9,U132-8)</f>
        <v>INFRA-2024-EOSC-02</v>
      </c>
      <c r="E132" s="620">
        <f ca="1">_xll.PALO.DATAC("jedoxtest/EU_PM_CUBE02","EUPM_Mittel2_Cube",AT_ExSc_Datenstand,"Alle Beteiligungen","Alle Koordinatoren","Alle Unternehmensgrößen","-2","Alle Organisationstypen",28,"Alle Expertevaluierungsstatus","-2","-2",1,"-2","Alle",$S132,E$8)</f>
        <v>0</v>
      </c>
      <c r="F132" s="620">
        <f ca="1">_xll.PALO.DATAC("jedoxtest/EU_PM_CUBE02","EUPM_Mittel2_Cube",AT_ExSc_Datenstand,"Alle Beteiligungen","Alle Koordinatoren","Alle Unternehmensgrößen","-2","Alle Organisationstypen",28,"Alle Expertevaluierungsstatus","-2","-2",1,"-2","Alle",$S132,F$8)</f>
        <v>0</v>
      </c>
      <c r="G132" s="620">
        <f ca="1">_xll.PALO.DATAC("jedoxtest/EU_PM_CUBE02","EUPM_Mittel2_Cube",AT_ExSc_Datenstand,"Alle Beteiligungen","Alle Koordinatoren","Alle Unternehmensgrößen","-2","Alle Organisationstypen",28,"Alle Expertevaluierungsstatus","-2","-2",1,"-2","Alle",$S132,G$8)</f>
        <v>0</v>
      </c>
      <c r="S132">
        <v>5204</v>
      </c>
      <c r="T132" s="585" t="str">
        <f ca="1">_xll.PALO.DATA("jedoxtest/EU_PM_CUBE02","#_Call","Bezeichnung",$S132)</f>
        <v>HORIZON-INFRA-2024-EOSC-02</v>
      </c>
      <c r="U132" s="618">
        <f t="shared" ref="U132" ca="1" si="26">LEN(T132)</f>
        <v>26</v>
      </c>
      <c r="V132" s="617"/>
      <c r="W132" s="617"/>
    </row>
    <row r="133" spans="1:23" s="618" customFormat="1" hidden="1">
      <c r="A133" s="617" t="b">
        <f ca="1">_xll.PALO.HIDEROW(ISBLANK($A$1))</f>
        <v>1</v>
      </c>
      <c r="D133" s="665"/>
      <c r="E133" s="666"/>
      <c r="F133" s="666"/>
      <c r="G133" s="666"/>
      <c r="S133"/>
      <c r="T133" s="585"/>
      <c r="V133" s="617"/>
      <c r="W133" s="617"/>
    </row>
    <row r="134" spans="1:23" s="618" customFormat="1" hidden="1">
      <c r="A134" s="617" t="b">
        <f ca="1">_xll.PALO.HIDEROW(ISBLANK($A$1))</f>
        <v>1</v>
      </c>
      <c r="D134" s="665"/>
      <c r="E134" s="666"/>
      <c r="F134" s="666"/>
      <c r="G134" s="666"/>
      <c r="S134"/>
      <c r="T134" s="585"/>
      <c r="V134" s="617"/>
      <c r="W134" s="617"/>
    </row>
    <row r="135" spans="1:23" s="618" customFormat="1" hidden="1">
      <c r="A135" s="617" t="b">
        <f ca="1">_xll.PALO.HIDEROW(ISBLANK($A$1))</f>
        <v>1</v>
      </c>
      <c r="D135" s="624"/>
      <c r="E135" s="624"/>
      <c r="F135" s="624"/>
      <c r="G135" s="624"/>
      <c r="S135"/>
      <c r="T135"/>
      <c r="V135" s="617"/>
      <c r="W135" s="617"/>
    </row>
    <row r="136" spans="1:23" s="618" customFormat="1" hidden="1">
      <c r="A136" s="617" t="b">
        <f ca="1">_xll.PALO.HIDEROW(ISBLANK($A$1))</f>
        <v>1</v>
      </c>
      <c r="D136" s="623" t="str">
        <f>T136</f>
        <v>INFRASERV</v>
      </c>
      <c r="E136" s="622">
        <f ca="1">SUM(E137:E142)</f>
        <v>19</v>
      </c>
      <c r="F136" s="622">
        <f ca="1">SUM(F137:F142)</f>
        <v>8239862.3700000001</v>
      </c>
      <c r="G136" s="622">
        <f ca="1">SUM(G137:G142)</f>
        <v>1</v>
      </c>
      <c r="S136"/>
      <c r="T136" s="619" t="s">
        <v>316</v>
      </c>
      <c r="U136" s="618">
        <f t="shared" ref="U136:U142" si="27">LEN(T136)</f>
        <v>9</v>
      </c>
      <c r="V136" s="617"/>
      <c r="W136" s="617"/>
    </row>
    <row r="137" spans="1:23" s="618" customFormat="1" hidden="1">
      <c r="A137" s="617" t="b">
        <f ca="1">_xll.PALO.HIDEROW(ISBLANK($A$1))</f>
        <v>1</v>
      </c>
      <c r="D137" s="621" t="str">
        <f t="shared" ref="D137:D142" ca="1" si="28">MID(T137,9,U137-8)</f>
        <v>INFRA-2021-SERV-01</v>
      </c>
      <c r="E137" s="620">
        <f ca="1">_xll.PALO.DATAC("jedoxtest/EU_PM_CUBE02","EUPM_Mittel2_Cube",AT_ExSc_Datenstand,"Alle Beteiligungen","Alle Koordinatoren","Alle Unternehmensgrößen","-2","Alle Organisationstypen",28,"Alle Expertevaluierungsstatus","-2","-2",1,"-2","Alle",$S137,E$8)</f>
        <v>3</v>
      </c>
      <c r="F137" s="620">
        <f ca="1">_xll.PALO.DATAC("jedoxtest/EU_PM_CUBE02","EUPM_Mittel2_Cube",AT_ExSc_Datenstand,"Alle Beteiligungen","Alle Koordinatoren","Alle Unternehmensgrößen","-2","Alle Organisationstypen",28,"Alle Expertevaluierungsstatus","-2","-2",1,"-2","Alle",$S137,F$8)</f>
        <v>3551989</v>
      </c>
      <c r="G137" s="620">
        <f ca="1">_xll.PALO.DATAC("jedoxtest/EU_PM_CUBE02","EUPM_Mittel2_Cube",AT_ExSc_Datenstand,"Alle Beteiligungen","Alle Koordinatoren","Alle Unternehmensgrößen","-2","Alle Organisationstypen",28,"Alle Expertevaluierungsstatus","-2","-2",1,"-2","Alle",$S137,G$8)</f>
        <v>1</v>
      </c>
      <c r="S137" s="664">
        <v>2601</v>
      </c>
      <c r="T137" s="619" t="str">
        <f ca="1">_xll.PALO.DATA("jedoxtest/EU_PM_CUBE02","#_Call","Bezeichnung",$S137)</f>
        <v>HORIZON-INFRA-2021-SERV-01</v>
      </c>
      <c r="U137" s="618">
        <f t="shared" ca="1" si="27"/>
        <v>26</v>
      </c>
      <c r="V137" s="617"/>
      <c r="W137" s="617"/>
    </row>
    <row r="138" spans="1:23" s="618" customFormat="1" hidden="1">
      <c r="A138" s="617" t="b">
        <f ca="1">_xll.PALO.HIDEROW(ISBLANK($A$1))</f>
        <v>1</v>
      </c>
      <c r="D138" s="621" t="str">
        <f t="shared" ca="1" si="28"/>
        <v>INFRA-2022-SERV-B-01</v>
      </c>
      <c r="E138" s="620">
        <f ca="1">_xll.PALO.DATAC("jedoxtest/EU_PM_CUBE02","EUPM_Mittel2_Cube",AT_ExSc_Datenstand,"Alle Beteiligungen","Alle Koordinatoren","Alle Unternehmensgrößen","-2","Alle Organisationstypen",28,"Alle Expertevaluierungsstatus","-2","-2",1,"-2","Alle",$S138,E$8)</f>
        <v>4</v>
      </c>
      <c r="F138" s="620">
        <f ca="1">_xll.PALO.DATAC("jedoxtest/EU_PM_CUBE02","EUPM_Mittel2_Cube",AT_ExSc_Datenstand,"Alle Beteiligungen","Alle Koordinatoren","Alle Unternehmensgrößen","-2","Alle Organisationstypen",28,"Alle Expertevaluierungsstatus","-2","-2",1,"-2","Alle",$S138,F$8)</f>
        <v>1978212.5</v>
      </c>
      <c r="G138" s="620">
        <f ca="1">_xll.PALO.DATAC("jedoxtest/EU_PM_CUBE02","EUPM_Mittel2_Cube",AT_ExSc_Datenstand,"Alle Beteiligungen","Alle Koordinatoren","Alle Unternehmensgrößen","-2","Alle Organisationstypen",28,"Alle Expertevaluierungsstatus","-2","-2",1,"-2","Alle",$S138,G$8)</f>
        <v>0</v>
      </c>
      <c r="S138">
        <v>2986</v>
      </c>
      <c r="T138" s="619" t="str">
        <f ca="1">_xll.PALO.DATA("jedoxtest/EU_PM_CUBE02","#_Call","Bezeichnung",$S138)</f>
        <v>HORIZON-INFRA-2022-SERV-B-01</v>
      </c>
      <c r="U138" s="618">
        <f t="shared" ca="1" si="27"/>
        <v>28</v>
      </c>
      <c r="V138" s="617"/>
      <c r="W138" s="617"/>
    </row>
    <row r="139" spans="1:23" s="618" customFormat="1" hidden="1">
      <c r="A139" s="617" t="b">
        <f ca="1">_xll.PALO.HIDEROW(ISBLANK($A$1))</f>
        <v>1</v>
      </c>
      <c r="D139" s="621" t="str">
        <f t="shared" ca="1" si="28"/>
        <v>INFRA-2023-SERV-01</v>
      </c>
      <c r="E139" s="620">
        <f ca="1">_xll.PALO.DATAC("jedoxtest/EU_PM_CUBE02","EUPM_Mittel2_Cube",AT_ExSc_Datenstand,"Alle Beteiligungen","Alle Koordinatoren","Alle Unternehmensgrößen","-2","Alle Organisationstypen",28,"Alle Expertevaluierungsstatus","-2","-2",1,"-2","Alle",$S139,E$8)</f>
        <v>12</v>
      </c>
      <c r="F139" s="620">
        <f ca="1">_xll.PALO.DATAC("jedoxtest/EU_PM_CUBE02","EUPM_Mittel2_Cube",AT_ExSc_Datenstand,"Alle Beteiligungen","Alle Koordinatoren","Alle Unternehmensgrößen","-2","Alle Organisationstypen",28,"Alle Expertevaluierungsstatus","-2","-2",1,"-2","Alle",$S139,F$8)</f>
        <v>2709660.87</v>
      </c>
      <c r="G139" s="620">
        <f ca="1">_xll.PALO.DATAC("jedoxtest/EU_PM_CUBE02","EUPM_Mittel2_Cube",AT_ExSc_Datenstand,"Alle Beteiligungen","Alle Koordinatoren","Alle Unternehmensgrößen","-2","Alle Organisationstypen",28,"Alle Expertevaluierungsstatus","-2","-2",1,"-2","Alle",$S139,G$8)</f>
        <v>0</v>
      </c>
      <c r="S139">
        <v>2937</v>
      </c>
      <c r="T139" s="619" t="str">
        <f ca="1">_xll.PALO.DATA("jedoxtest/EU_PM_CUBE02","#_Call","Bezeichnung",$S139)</f>
        <v>HORIZON-INFRA-2023-SERV-01</v>
      </c>
      <c r="U139" s="618">
        <f t="shared" ca="1" si="27"/>
        <v>26</v>
      </c>
      <c r="V139" s="617"/>
      <c r="W139" s="617"/>
    </row>
    <row r="140" spans="1:23" s="618" customFormat="1" hidden="1">
      <c r="A140" s="617" t="b">
        <f ca="1">_xll.PALO.HIDEROW(ISBLANK($A$1))</f>
        <v>1</v>
      </c>
      <c r="D140" s="621" t="e">
        <f t="shared" ca="1" si="28"/>
        <v>#VALUE!</v>
      </c>
      <c r="E140" s="620" t="str">
        <f ca="1">_xll.PALO.DATAC("jedoxtest/EU_PM_CUBE02","EUPM_Mittel2_Cube",AT_ExSc_Datenstand,"Alle Beteiligungen","Alle Koordinatoren","Alle Unternehmensgrößen","-2","Alle Organisationstypen",28,"Alle Expertevaluierungsstatus","-2","-2",1,"-2","Alle",$S140,E$8)</f>
        <v/>
      </c>
      <c r="F140" s="620" t="str">
        <f ca="1">_xll.PALO.DATAC("jedoxtest/EU_PM_CUBE02","EUPM_Mittel2_Cube",AT_ExSc_Datenstand,"Alle Beteiligungen","Alle Koordinatoren","Alle Unternehmensgrößen","-2","Alle Organisationstypen",28,"Alle Expertevaluierungsstatus","-2","-2",1,"-2","Alle",$S140,F$8)</f>
        <v/>
      </c>
      <c r="G140" s="620" t="str">
        <f ca="1">_xll.PALO.DATAC("jedoxtest/EU_PM_CUBE02","EUPM_Mittel2_Cube",AT_ExSc_Datenstand,"Alle Beteiligungen","Alle Koordinatoren","Alle Unternehmensgrößen","-2","Alle Organisationstypen",28,"Alle Expertevaluierungsstatus","-2","-2",1,"-2","Alle",$S140,G$8)</f>
        <v/>
      </c>
      <c r="S140"/>
      <c r="T140" s="619" t="str">
        <f ca="1">_xll.PALO.DATA("jedoxtest/EU_PM_CUBE02","#_Call","Bezeichnung",$S140)</f>
        <v/>
      </c>
      <c r="U140" s="618">
        <f t="shared" ca="1" si="27"/>
        <v>0</v>
      </c>
      <c r="V140" s="617"/>
      <c r="W140" s="617"/>
    </row>
    <row r="141" spans="1:23" s="618" customFormat="1" hidden="1">
      <c r="A141" s="617" t="b">
        <f ca="1">_xll.PALO.HIDEROW(ISBLANK($A$1))</f>
        <v>1</v>
      </c>
      <c r="D141" s="621" t="e">
        <f t="shared" ca="1" si="28"/>
        <v>#VALUE!</v>
      </c>
      <c r="E141" s="620" t="str">
        <f ca="1">_xll.PALO.DATAC("jedoxtest/EU_PM_CUBE02","EUPM_Mittel2_Cube",AT_ExSc_Datenstand,"Alle Beteiligungen","Alle Koordinatoren","Alle Unternehmensgrößen","-2","Alle Organisationstypen",28,"Alle Expertevaluierungsstatus","-2","-2",1,"-2","Alle",$S141,E$8)</f>
        <v/>
      </c>
      <c r="F141" s="620" t="str">
        <f ca="1">_xll.PALO.DATAC("jedoxtest/EU_PM_CUBE02","EUPM_Mittel2_Cube",AT_ExSc_Datenstand,"Alle Beteiligungen","Alle Koordinatoren","Alle Unternehmensgrößen","-2","Alle Organisationstypen",28,"Alle Expertevaluierungsstatus","-2","-2",1,"-2","Alle",$S141,F$8)</f>
        <v/>
      </c>
      <c r="G141" s="620" t="str">
        <f ca="1">_xll.PALO.DATAC("jedoxtest/EU_PM_CUBE02","EUPM_Mittel2_Cube",AT_ExSc_Datenstand,"Alle Beteiligungen","Alle Koordinatoren","Alle Unternehmensgrößen","-2","Alle Organisationstypen",28,"Alle Expertevaluierungsstatus","-2","-2",1,"-2","Alle",$S141,G$8)</f>
        <v/>
      </c>
      <c r="S141" s="617"/>
      <c r="T141" s="619" t="str">
        <f ca="1">_xll.PALO.DATA("jedoxtest/EU_PM_CUBE02","#_Call","Bezeichnung",$S141)</f>
        <v/>
      </c>
      <c r="U141" s="618">
        <f t="shared" ca="1" si="27"/>
        <v>0</v>
      </c>
      <c r="V141" s="617"/>
      <c r="W141" s="617"/>
    </row>
    <row r="142" spans="1:23" s="618" customFormat="1" hidden="1">
      <c r="A142" s="617" t="b">
        <f ca="1">_xll.PALO.HIDEROW(ISBLANK($A$1))</f>
        <v>1</v>
      </c>
      <c r="D142" s="621" t="e">
        <f t="shared" ca="1" si="28"/>
        <v>#VALUE!</v>
      </c>
      <c r="E142" s="620" t="str">
        <f ca="1">_xll.PALO.DATAC("jedoxtest/EU_PM_CUBE02","EUPM_Mittel2_Cube",AT_ExSc_Datenstand,"Alle Beteiligungen","Alle Koordinatoren","Alle Unternehmensgrößen","-2","Alle Organisationstypen",28,"Alle Expertevaluierungsstatus","-2","-2",1,"-2","Alle",$S142,E$8)</f>
        <v/>
      </c>
      <c r="F142" s="620" t="str">
        <f ca="1">_xll.PALO.DATAC("jedoxtest/EU_PM_CUBE02","EUPM_Mittel2_Cube",AT_ExSc_Datenstand,"Alle Beteiligungen","Alle Koordinatoren","Alle Unternehmensgrößen","-2","Alle Organisationstypen",28,"Alle Expertevaluierungsstatus","-2","-2",1,"-2","Alle",$S142,F$8)</f>
        <v/>
      </c>
      <c r="G142" s="620" t="str">
        <f ca="1">_xll.PALO.DATAC("jedoxtest/EU_PM_CUBE02","EUPM_Mittel2_Cube",AT_ExSc_Datenstand,"Alle Beteiligungen","Alle Koordinatoren","Alle Unternehmensgrößen","-2","Alle Organisationstypen",28,"Alle Expertevaluierungsstatus","-2","-2",1,"-2","Alle",$S142,G$8)</f>
        <v/>
      </c>
      <c r="S142" s="617"/>
      <c r="T142" s="619" t="str">
        <f ca="1">_xll.PALO.DATA("jedoxtest/EU_PM_CUBE02","#_Call","Bezeichnung",$S142)</f>
        <v/>
      </c>
      <c r="U142" s="618">
        <f t="shared" ca="1" si="27"/>
        <v>0</v>
      </c>
      <c r="V142" s="617"/>
      <c r="W142" s="617"/>
    </row>
    <row r="143" spans="1:23" s="618" customFormat="1" hidden="1">
      <c r="A143" s="617" t="b">
        <f ca="1">_xll.PALO.HIDEROW(ISBLANK($A$1))</f>
        <v>1</v>
      </c>
      <c r="D143" s="624"/>
      <c r="E143" s="624"/>
      <c r="F143" s="624"/>
      <c r="G143" s="624"/>
      <c r="S143" s="617"/>
      <c r="T143" s="617"/>
      <c r="V143" s="617"/>
      <c r="W143" s="617"/>
    </row>
    <row r="144" spans="1:23" s="618" customFormat="1" hidden="1">
      <c r="A144" s="617" t="b">
        <f ca="1">_xll.PALO.HIDEROW(ISBLANK($A$1))</f>
        <v>1</v>
      </c>
      <c r="D144" s="623" t="str">
        <f>T144</f>
        <v>INFRATECH</v>
      </c>
      <c r="E144" s="622">
        <f ca="1">SUM(E145:E150)</f>
        <v>22</v>
      </c>
      <c r="F144" s="622">
        <f ca="1">SUM(F145:F150)</f>
        <v>8110172.1600000001</v>
      </c>
      <c r="G144" s="622">
        <f ca="1">SUM(G145:G150)</f>
        <v>1</v>
      </c>
      <c r="S144" s="617"/>
      <c r="T144" s="619" t="s">
        <v>317</v>
      </c>
      <c r="U144" s="618">
        <f t="shared" ref="U144:U158" si="29">LEN(T144)</f>
        <v>9</v>
      </c>
      <c r="V144" s="617"/>
      <c r="W144" s="617"/>
    </row>
    <row r="145" spans="1:23" s="618" customFormat="1" hidden="1">
      <c r="A145" s="617" t="b">
        <f ca="1">_xll.PALO.HIDEROW(ISBLANK($A$1))</f>
        <v>1</v>
      </c>
      <c r="D145" s="621" t="str">
        <f t="shared" ref="D145:D150" ca="1" si="30">MID(T145,9,U145-8)</f>
        <v>INFRA-2021-TECH-01</v>
      </c>
      <c r="E145" s="620">
        <f ca="1">_xll.PALO.DATAC("jedoxtest/EU_PM_CUBE02","EUPM_Mittel2_Cube",AT_ExSc_Datenstand,"Alle Beteiligungen","Alle Koordinatoren","Alle Unternehmensgrößen","-2","Alle Organisationstypen",28,"Alle Expertevaluierungsstatus","-2","-2",1,"-2","Alle",$S145,E$8)</f>
        <v>4</v>
      </c>
      <c r="F145" s="620">
        <f ca="1">_xll.PALO.DATAC("jedoxtest/EU_PM_CUBE02","EUPM_Mittel2_Cube",AT_ExSc_Datenstand,"Alle Beteiligungen","Alle Koordinatoren","Alle Unternehmensgrößen","-2","Alle Organisationstypen",28,"Alle Expertevaluierungsstatus","-2","-2",1,"-2","Alle",$S145,F$8)</f>
        <v>1643662.91</v>
      </c>
      <c r="G145" s="620">
        <f ca="1">_xll.PALO.DATAC("jedoxtest/EU_PM_CUBE02","EUPM_Mittel2_Cube",AT_ExSc_Datenstand,"Alle Beteiligungen","Alle Koordinatoren","Alle Unternehmensgrößen","-2","Alle Organisationstypen",28,"Alle Expertevaluierungsstatus","-2","-2",1,"-2","Alle",$S145,G$8)</f>
        <v>0</v>
      </c>
      <c r="S145">
        <v>2602</v>
      </c>
      <c r="T145" s="619" t="str">
        <f ca="1">_xll.PALO.DATA("jedoxtest/EU_PM_CUBE02","#_Call","Bezeichnung",$S145)</f>
        <v>HORIZON-INFRA-2021-TECH-01</v>
      </c>
      <c r="U145" s="618">
        <f t="shared" ca="1" si="29"/>
        <v>26</v>
      </c>
      <c r="V145" s="617"/>
      <c r="W145" s="617"/>
    </row>
    <row r="146" spans="1:23" s="618" customFormat="1" hidden="1">
      <c r="A146" s="617" t="b">
        <f ca="1">_xll.PALO.HIDEROW(ISBLANK($A$1))</f>
        <v>1</v>
      </c>
      <c r="D146" s="621" t="str">
        <f t="shared" ca="1" si="30"/>
        <v>INFRA-2022-TECH-01</v>
      </c>
      <c r="E146" s="620">
        <f ca="1">_xll.PALO.DATAC("jedoxtest/EU_PM_CUBE02","EUPM_Mittel2_Cube",AT_ExSc_Datenstand,"Alle Beteiligungen","Alle Koordinatoren","Alle Unternehmensgrößen","-2","Alle Organisationstypen",28,"Alle Expertevaluierungsstatus","-2","-2",1,"-2","Alle",$S146,E$8)</f>
        <v>9</v>
      </c>
      <c r="F146" s="620">
        <f ca="1">_xll.PALO.DATAC("jedoxtest/EU_PM_CUBE02","EUPM_Mittel2_Cube",AT_ExSc_Datenstand,"Alle Beteiligungen","Alle Koordinatoren","Alle Unternehmensgrößen","-2","Alle Organisationstypen",28,"Alle Expertevaluierungsstatus","-2","-2",1,"-2","Alle",$S146,F$8)</f>
        <v>3429989.5</v>
      </c>
      <c r="G146" s="620">
        <f ca="1">_xll.PALO.DATAC("jedoxtest/EU_PM_CUBE02","EUPM_Mittel2_Cube",AT_ExSc_Datenstand,"Alle Beteiligungen","Alle Koordinatoren","Alle Unternehmensgrößen","-2","Alle Organisationstypen",28,"Alle Expertevaluierungsstatus","-2","-2",1,"-2","Alle",$S146,G$8)</f>
        <v>1</v>
      </c>
      <c r="S146">
        <v>2772</v>
      </c>
      <c r="T146" s="619" t="str">
        <f ca="1">_xll.PALO.DATA("jedoxtest/EU_PM_CUBE02","#_Call","Bezeichnung",$S146)</f>
        <v>HORIZON-INFRA-2022-TECH-01</v>
      </c>
      <c r="U146" s="618">
        <f t="shared" ca="1" si="29"/>
        <v>26</v>
      </c>
    </row>
    <row r="147" spans="1:23" s="618" customFormat="1" hidden="1">
      <c r="A147" s="617" t="b">
        <f ca="1">_xll.PALO.HIDEROW(ISBLANK($A$1))</f>
        <v>1</v>
      </c>
      <c r="D147" s="621" t="str">
        <f t="shared" ca="1" si="30"/>
        <v>INFRA-2023-TECH-01</v>
      </c>
      <c r="E147" s="620">
        <f ca="1">_xll.PALO.DATAC("jedoxtest/EU_PM_CUBE02","EUPM_Mittel2_Cube",AT_ExSc_Datenstand,"Alle Beteiligungen","Alle Koordinatoren","Alle Unternehmensgrößen","-2","Alle Organisationstypen",28,"Alle Expertevaluierungsstatus","-2","-2",1,"-2","Alle",$S147,E$8)</f>
        <v>0</v>
      </c>
      <c r="F147" s="620">
        <f ca="1">_xll.PALO.DATAC("jedoxtest/EU_PM_CUBE02","EUPM_Mittel2_Cube",AT_ExSc_Datenstand,"Alle Beteiligungen","Alle Koordinatoren","Alle Unternehmensgrößen","-2","Alle Organisationstypen",28,"Alle Expertevaluierungsstatus","-2","-2",1,"-2","Alle",$S147,F$8)</f>
        <v>0</v>
      </c>
      <c r="G147" s="620">
        <f ca="1">_xll.PALO.DATAC("jedoxtest/EU_PM_CUBE02","EUPM_Mittel2_Cube",AT_ExSc_Datenstand,"Alle Beteiligungen","Alle Koordinatoren","Alle Unternehmensgrößen","-2","Alle Organisationstypen",28,"Alle Expertevaluierungsstatus","-2","-2",1,"-2","Alle",$S147,G$8)</f>
        <v>0</v>
      </c>
      <c r="S147">
        <v>2938</v>
      </c>
      <c r="T147" s="619" t="str">
        <f ca="1">_xll.PALO.DATA("jedoxtest/EU_PM_CUBE02","#_Call","Bezeichnung",$S147)</f>
        <v>HORIZON-INFRA-2023-TECH-01</v>
      </c>
      <c r="U147" s="618">
        <f t="shared" ca="1" si="29"/>
        <v>26</v>
      </c>
    </row>
    <row r="148" spans="1:23" s="618" customFormat="1" hidden="1">
      <c r="A148" s="617" t="b">
        <f ca="1">_xll.PALO.HIDEROW(ISBLANK($A$1))</f>
        <v>1</v>
      </c>
      <c r="D148" s="621" t="str">
        <f t="shared" ca="1" si="30"/>
        <v>INFRA-2024-TECH-01</v>
      </c>
      <c r="E148" s="620">
        <f ca="1">_xll.PALO.DATAC("jedoxtest/EU_PM_CUBE02","EUPM_Mittel2_Cube",AT_ExSc_Datenstand,"Alle Beteiligungen","Alle Koordinatoren","Alle Unternehmensgrößen","-2","Alle Organisationstypen",28,"Alle Expertevaluierungsstatus","-2","-2",1,"-2","Alle",$S148,E$8)</f>
        <v>9</v>
      </c>
      <c r="F148" s="620">
        <f ca="1">_xll.PALO.DATAC("jedoxtest/EU_PM_CUBE02","EUPM_Mittel2_Cube",AT_ExSc_Datenstand,"Alle Beteiligungen","Alle Koordinatoren","Alle Unternehmensgrößen","-2","Alle Organisationstypen",28,"Alle Expertevaluierungsstatus","-2","-2",1,"-2","Alle",$S148,F$8)</f>
        <v>3036519.75</v>
      </c>
      <c r="G148" s="620">
        <f ca="1">_xll.PALO.DATAC("jedoxtest/EU_PM_CUBE02","EUPM_Mittel2_Cube",AT_ExSc_Datenstand,"Alle Beteiligungen","Alle Koordinatoren","Alle Unternehmensgrößen","-2","Alle Organisationstypen",28,"Alle Expertevaluierungsstatus","-2","-2",1,"-2","Alle",$S148,G$8)</f>
        <v>0</v>
      </c>
      <c r="S148">
        <v>3073</v>
      </c>
      <c r="T148" s="619" t="str">
        <f ca="1">_xll.PALO.DATA("jedoxtest/EU_PM_CUBE02","#_Call","Bezeichnung",$S148)</f>
        <v>HORIZON-INFRA-2024-TECH-01</v>
      </c>
      <c r="U148" s="618">
        <f t="shared" ca="1" si="29"/>
        <v>26</v>
      </c>
    </row>
    <row r="149" spans="1:23" s="618" customFormat="1" hidden="1">
      <c r="A149" s="617" t="b">
        <f ca="1">_xll.PALO.HIDEROW(ISBLANK($A$1))</f>
        <v>1</v>
      </c>
      <c r="D149" s="621" t="e">
        <f t="shared" ca="1" si="30"/>
        <v>#VALUE!</v>
      </c>
      <c r="E149" s="620" t="str">
        <f ca="1">_xll.PALO.DATAC("jedoxtest/EU_PM_CUBE02","EUPM_Mittel2_Cube",AT_ExSc_Datenstand,"Alle Beteiligungen","Alle Koordinatoren","Alle Unternehmensgrößen","-2","Alle Organisationstypen",28,"Alle Expertevaluierungsstatus","-2","-2",1,"-2","Alle",$S149,E$8)</f>
        <v/>
      </c>
      <c r="F149" s="620" t="str">
        <f ca="1">_xll.PALO.DATAC("jedoxtest/EU_PM_CUBE02","EUPM_Mittel2_Cube",AT_ExSc_Datenstand,"Alle Beteiligungen","Alle Koordinatoren","Alle Unternehmensgrößen","-2","Alle Organisationstypen",28,"Alle Expertevaluierungsstatus","-2","-2",1,"-2","Alle",$S149,F$8)</f>
        <v/>
      </c>
      <c r="G149" s="620" t="str">
        <f ca="1">_xll.PALO.DATAC("jedoxtest/EU_PM_CUBE02","EUPM_Mittel2_Cube",AT_ExSc_Datenstand,"Alle Beteiligungen","Alle Koordinatoren","Alle Unternehmensgrößen","-2","Alle Organisationstypen",28,"Alle Expertevaluierungsstatus","-2","-2",1,"-2","Alle",$S149,G$8)</f>
        <v/>
      </c>
      <c r="S149"/>
      <c r="T149" s="619" t="str">
        <f ca="1">_xll.PALO.DATA("jedoxtest/EU_PM_CUBE02","#_Call","Bezeichnung",$S149)</f>
        <v/>
      </c>
      <c r="U149" s="618">
        <f t="shared" ca="1" si="29"/>
        <v>0</v>
      </c>
    </row>
    <row r="150" spans="1:23" s="618" customFormat="1" hidden="1">
      <c r="A150" s="617" t="b">
        <f ca="1">_xll.PALO.HIDEROW(ISBLANK($A$1))</f>
        <v>1</v>
      </c>
      <c r="D150" s="621" t="e">
        <f t="shared" ca="1" si="30"/>
        <v>#VALUE!</v>
      </c>
      <c r="E150" s="620" t="str">
        <f ca="1">_xll.PALO.DATAC("jedoxtest/EU_PM_CUBE02","EUPM_Mittel2_Cube",AT_ExSc_Datenstand,"Alle Beteiligungen","Alle Koordinatoren","Alle Unternehmensgrößen","-2","Alle Organisationstypen",28,"Alle Expertevaluierungsstatus","-2","-2",1,"-2","Alle",$S150,E$8)</f>
        <v/>
      </c>
      <c r="F150" s="620" t="str">
        <f ca="1">_xll.PALO.DATAC("jedoxtest/EU_PM_CUBE02","EUPM_Mittel2_Cube",AT_ExSc_Datenstand,"Alle Beteiligungen","Alle Koordinatoren","Alle Unternehmensgrößen","-2","Alle Organisationstypen",28,"Alle Expertevaluierungsstatus","-2","-2",1,"-2","Alle",$S150,F$8)</f>
        <v/>
      </c>
      <c r="G150" s="620" t="str">
        <f ca="1">_xll.PALO.DATAC("jedoxtest/EU_PM_CUBE02","EUPM_Mittel2_Cube",AT_ExSc_Datenstand,"Alle Beteiligungen","Alle Koordinatoren","Alle Unternehmensgrößen","-2","Alle Organisationstypen",28,"Alle Expertevaluierungsstatus","-2","-2",1,"-2","Alle",$S150,G$8)</f>
        <v/>
      </c>
      <c r="S150"/>
      <c r="T150" s="619" t="str">
        <f ca="1">_xll.PALO.DATA("jedoxtest/EU_PM_CUBE02","#_Call","Bezeichnung",$S150)</f>
        <v/>
      </c>
      <c r="U150" s="618">
        <f t="shared" ca="1" si="29"/>
        <v>0</v>
      </c>
    </row>
    <row r="151" spans="1:23" s="618" customFormat="1" hidden="1">
      <c r="A151" s="617" t="b">
        <f ca="1">_xll.PALO.HIDEROW(ISBLANK($A$1))</f>
        <v>1</v>
      </c>
      <c r="S151"/>
      <c r="T151" s="619"/>
      <c r="U151" s="618">
        <f t="shared" si="29"/>
        <v>0</v>
      </c>
    </row>
    <row r="152" spans="1:23" s="618" customFormat="1" hidden="1">
      <c r="A152" s="617" t="b">
        <f ca="1">_xll.PALO.HIDEROW(ISBLANK($A$1))</f>
        <v>1</v>
      </c>
      <c r="D152" s="623" t="str">
        <f>T152</f>
        <v>INFRANET</v>
      </c>
      <c r="E152" s="622">
        <f ca="1">SUM(E153:E158)</f>
        <v>2</v>
      </c>
      <c r="F152" s="622">
        <f ca="1">SUM(F153:F158)</f>
        <v>12875</v>
      </c>
      <c r="G152" s="622">
        <f ca="1">SUM(G153:G158)</f>
        <v>0</v>
      </c>
      <c r="S152"/>
      <c r="T152" s="619" t="s">
        <v>319</v>
      </c>
      <c r="U152" s="618">
        <f t="shared" si="29"/>
        <v>8</v>
      </c>
    </row>
    <row r="153" spans="1:23" s="618" customFormat="1" hidden="1">
      <c r="A153" s="617" t="b">
        <f ca="1">_xll.PALO.HIDEROW(ISBLANK($A$1))</f>
        <v>1</v>
      </c>
      <c r="D153" s="621" t="str">
        <f t="shared" ref="D153:D158" ca="1" si="31">MID(T153,9,U153-8)</f>
        <v>INFRA-2021-NET-01-FPA</v>
      </c>
      <c r="E153" s="620">
        <f ca="1">_xll.PALO.DATAC("jedoxtest/EU_PM_CUBE02","EUPM_Mittel2_Cube",AT_ExSc_Datenstand,"Alle Beteiligungen","Alle Koordinatoren","Alle Unternehmensgrößen","-2","Alle Organisationstypen",28,"Alle Expertevaluierungsstatus","-2","-2",1,"-2","Alle",$S153,E$8)</f>
        <v>1</v>
      </c>
      <c r="F153" s="620">
        <f ca="1">_xll.PALO.DATAC("jedoxtest/EU_PM_CUBE02","EUPM_Mittel2_Cube",AT_ExSc_Datenstand,"Alle Beteiligungen","Alle Koordinatoren","Alle Unternehmensgrößen","-2","Alle Organisationstypen",28,"Alle Expertevaluierungsstatus","-2","-2",1,"-2","Alle",$S153,F$8)</f>
        <v>0</v>
      </c>
      <c r="G153" s="620">
        <f ca="1">_xll.PALO.DATAC("jedoxtest/EU_PM_CUBE02","EUPM_Mittel2_Cube",AT_ExSc_Datenstand,"Alle Beteiligungen","Alle Koordinatoren","Alle Unternehmensgrößen","-2","Alle Organisationstypen",28,"Alle Expertevaluierungsstatus","-2","-2",1,"-2","Alle",$S153,G$8)</f>
        <v>0</v>
      </c>
      <c r="S153">
        <v>2600</v>
      </c>
      <c r="T153" s="619" t="str">
        <f ca="1">_xll.PALO.DATA("jedoxtest/EU_PM_CUBE02","#_Call","Bezeichnung",$S153)</f>
        <v>HORIZON-INFRA-2021-NET-01-FPA</v>
      </c>
      <c r="U153" s="618">
        <f t="shared" ca="1" si="29"/>
        <v>29</v>
      </c>
    </row>
    <row r="154" spans="1:23" s="618" customFormat="1" hidden="1">
      <c r="A154" s="617" t="b">
        <f ca="1">_xll.PALO.HIDEROW(ISBLANK($A$1))</f>
        <v>1</v>
      </c>
      <c r="D154" s="621" t="str">
        <f t="shared" ca="1" si="31"/>
        <v>INFRA-2021-NET-01-SGA-2</v>
      </c>
      <c r="E154" s="620">
        <f ca="1">_xll.PALO.DATAC("jedoxtest/EU_PM_CUBE02","EUPM_Mittel2_Cube",AT_ExSc_Datenstand,"Alle Beteiligungen","Alle Koordinatoren","Alle Unternehmensgrößen","-2","Alle Organisationstypen",28,"Alle Expertevaluierungsstatus","-2","-2",1,"-2","Alle",$S154,E$8)</f>
        <v>0</v>
      </c>
      <c r="F154" s="620">
        <f ca="1">_xll.PALO.DATAC("jedoxtest/EU_PM_CUBE02","EUPM_Mittel2_Cube",AT_ExSc_Datenstand,"Alle Beteiligungen","Alle Koordinatoren","Alle Unternehmensgrößen","-2","Alle Organisationstypen",28,"Alle Expertevaluierungsstatus","-2","-2",1,"-2","Alle",$S154,F$8)</f>
        <v>0</v>
      </c>
      <c r="G154" s="620">
        <f ca="1">_xll.PALO.DATAC("jedoxtest/EU_PM_CUBE02","EUPM_Mittel2_Cube",AT_ExSc_Datenstand,"Alle Beteiligungen","Alle Koordinatoren","Alle Unternehmensgrößen","-2","Alle Organisationstypen",28,"Alle Expertevaluierungsstatus","-2","-2",1,"-2","Alle",$S154,G$8)</f>
        <v>0</v>
      </c>
      <c r="S154">
        <v>2768</v>
      </c>
      <c r="T154" s="619" t="str">
        <f ca="1">_xll.PALO.DATA("jedoxtest/EU_PM_CUBE02","#_Call","Bezeichnung",$S154)</f>
        <v>HORIZON-INFRA-2021-NET-01-SGA-2</v>
      </c>
      <c r="U154" s="618">
        <f t="shared" ca="1" si="29"/>
        <v>31</v>
      </c>
    </row>
    <row r="155" spans="1:23" s="618" customFormat="1" hidden="1">
      <c r="A155" s="617" t="b">
        <f ca="1">_xll.PALO.HIDEROW(ISBLANK($A$1))</f>
        <v>1</v>
      </c>
      <c r="D155" s="621" t="str">
        <f t="shared" ca="1" si="31"/>
        <v>INFRA-2022-NET-01-SGA</v>
      </c>
      <c r="E155" s="620">
        <f ca="1">_xll.PALO.DATAC("jedoxtest/EU_PM_CUBE02","EUPM_Mittel2_Cube",AT_ExSc_Datenstand,"Alle Beteiligungen","Alle Koordinatoren","Alle Unternehmensgrößen","-2","Alle Organisationstypen",28,"Alle Expertevaluierungsstatus","-2","-2",1,"-2","Alle",$S155,E$8)</f>
        <v>1</v>
      </c>
      <c r="F155" s="620">
        <f ca="1">_xll.PALO.DATAC("jedoxtest/EU_PM_CUBE02","EUPM_Mittel2_Cube",AT_ExSc_Datenstand,"Alle Beteiligungen","Alle Koordinatoren","Alle Unternehmensgrößen","-2","Alle Organisationstypen",28,"Alle Expertevaluierungsstatus","-2","-2",1,"-2","Alle",$S155,F$8)</f>
        <v>12875</v>
      </c>
      <c r="G155" s="620">
        <f ca="1">_xll.PALO.DATAC("jedoxtest/EU_PM_CUBE02","EUPM_Mittel2_Cube",AT_ExSc_Datenstand,"Alle Beteiligungen","Alle Koordinatoren","Alle Unternehmensgrößen","-2","Alle Organisationstypen",28,"Alle Expertevaluierungsstatus","-2","-2",1,"-2","Alle",$S155,G$8)</f>
        <v>0</v>
      </c>
      <c r="S155">
        <v>2771</v>
      </c>
      <c r="T155" s="619" t="str">
        <f ca="1">_xll.PALO.DATA("jedoxtest/EU_PM_CUBE02","#_Call","Bezeichnung",$S155)</f>
        <v>HORIZON-INFRA-2022-NET-01-SGA</v>
      </c>
      <c r="U155" s="618">
        <f t="shared" ca="1" si="29"/>
        <v>29</v>
      </c>
    </row>
    <row r="156" spans="1:23" s="618" customFormat="1" hidden="1">
      <c r="A156" s="617" t="b">
        <f ca="1">_xll.PALO.HIDEROW(ISBLANK($A$1))</f>
        <v>1</v>
      </c>
      <c r="D156" s="621" t="e">
        <f t="shared" ca="1" si="31"/>
        <v>#VALUE!</v>
      </c>
      <c r="E156" s="620" t="str">
        <f ca="1">_xll.PALO.DATAC("jedoxtest/EU_PM_CUBE02","EUPM_Mittel2_Cube",AT_ExSc_Datenstand,"Alle Beteiligungen","Alle Koordinatoren","Alle Unternehmensgrößen","-2","Alle Organisationstypen",28,"Alle Expertevaluierungsstatus","-2","-2",1,"-2","Alle",$S156,E$8)</f>
        <v/>
      </c>
      <c r="F156" s="620" t="str">
        <f ca="1">_xll.PALO.DATAC("jedoxtest/EU_PM_CUBE02","EUPM_Mittel2_Cube",AT_ExSc_Datenstand,"Alle Beteiligungen","Alle Koordinatoren","Alle Unternehmensgrößen","-2","Alle Organisationstypen",28,"Alle Expertevaluierungsstatus","-2","-2",1,"-2","Alle",$S156,F$8)</f>
        <v/>
      </c>
      <c r="G156" s="620" t="str">
        <f ca="1">_xll.PALO.DATAC("jedoxtest/EU_PM_CUBE02","EUPM_Mittel2_Cube",AT_ExSc_Datenstand,"Alle Beteiligungen","Alle Koordinatoren","Alle Unternehmensgrößen","-2","Alle Organisationstypen",28,"Alle Expertevaluierungsstatus","-2","-2",1,"-2","Alle",$S156,G$8)</f>
        <v/>
      </c>
      <c r="S156"/>
      <c r="T156" s="619" t="str">
        <f ca="1">_xll.PALO.DATA("jedoxtest/EU_PM_CUBE02","#_Call","Bezeichnung",$S156)</f>
        <v/>
      </c>
      <c r="U156" s="618">
        <f t="shared" ca="1" si="29"/>
        <v>0</v>
      </c>
    </row>
    <row r="157" spans="1:23" s="618" customFormat="1" hidden="1">
      <c r="A157" s="617" t="b">
        <f ca="1">_xll.PALO.HIDEROW(ISBLANK($A$1))</f>
        <v>1</v>
      </c>
      <c r="D157" s="621" t="e">
        <f t="shared" ca="1" si="31"/>
        <v>#VALUE!</v>
      </c>
      <c r="E157" s="620" t="str">
        <f ca="1">_xll.PALO.DATAC("jedoxtest/EU_PM_CUBE02","EUPM_Mittel2_Cube",AT_ExSc_Datenstand,"Alle Beteiligungen","Alle Koordinatoren","Alle Unternehmensgrößen","-2","Alle Organisationstypen",28,"Alle Expertevaluierungsstatus","-2","-2",1,"-2","Alle",$S157,E$8)</f>
        <v/>
      </c>
      <c r="F157" s="620" t="str">
        <f ca="1">_xll.PALO.DATAC("jedoxtest/EU_PM_CUBE02","EUPM_Mittel2_Cube",AT_ExSc_Datenstand,"Alle Beteiligungen","Alle Koordinatoren","Alle Unternehmensgrößen","-2","Alle Organisationstypen",28,"Alle Expertevaluierungsstatus","-2","-2",1,"-2","Alle",$S157,F$8)</f>
        <v/>
      </c>
      <c r="G157" s="620" t="str">
        <f ca="1">_xll.PALO.DATAC("jedoxtest/EU_PM_CUBE02","EUPM_Mittel2_Cube",AT_ExSc_Datenstand,"Alle Beteiligungen","Alle Koordinatoren","Alle Unternehmensgrößen","-2","Alle Organisationstypen",28,"Alle Expertevaluierungsstatus","-2","-2",1,"-2","Alle",$S157,G$8)</f>
        <v/>
      </c>
      <c r="S157"/>
      <c r="T157" s="619" t="str">
        <f ca="1">_xll.PALO.DATA("jedoxtest/EU_PM_CUBE02","#_Call","Bezeichnung",$S157)</f>
        <v/>
      </c>
      <c r="U157" s="618">
        <f t="shared" ca="1" si="29"/>
        <v>0</v>
      </c>
    </row>
    <row r="158" spans="1:23" s="618" customFormat="1" hidden="1">
      <c r="A158" s="617" t="b">
        <f ca="1">_xll.PALO.HIDEROW(ISBLANK($A$1))</f>
        <v>1</v>
      </c>
      <c r="D158" s="621" t="e">
        <f t="shared" ca="1" si="31"/>
        <v>#VALUE!</v>
      </c>
      <c r="E158" s="620" t="str">
        <f ca="1">_xll.PALO.DATAC("jedoxtest/EU_PM_CUBE02","EUPM_Mittel2_Cube",AT_ExSc_Datenstand,"Alle Beteiligungen","Alle Koordinatoren","Alle Unternehmensgrößen","-2","Alle Organisationstypen",28,"Alle Expertevaluierungsstatus","-2","-2",1,"-2","Alle",$S158,E$8)</f>
        <v/>
      </c>
      <c r="F158" s="620" t="str">
        <f ca="1">_xll.PALO.DATAC("jedoxtest/EU_PM_CUBE02","EUPM_Mittel2_Cube",AT_ExSc_Datenstand,"Alle Beteiligungen","Alle Koordinatoren","Alle Unternehmensgrößen","-2","Alle Organisationstypen",28,"Alle Expertevaluierungsstatus","-2","-2",1,"-2","Alle",$S158,F$8)</f>
        <v/>
      </c>
      <c r="G158" s="620" t="str">
        <f ca="1">_xll.PALO.DATAC("jedoxtest/EU_PM_CUBE02","EUPM_Mittel2_Cube",AT_ExSc_Datenstand,"Alle Beteiligungen","Alle Koordinatoren","Alle Unternehmensgrößen","-2","Alle Organisationstypen",28,"Alle Expertevaluierungsstatus","-2","-2",1,"-2","Alle",$S158,G$8)</f>
        <v/>
      </c>
      <c r="S158"/>
      <c r="T158" s="619" t="str">
        <f ca="1">_xll.PALO.DATA("jedoxtest/EU_PM_CUBE02","#_Call","Bezeichnung",$S158)</f>
        <v/>
      </c>
      <c r="U158" s="618">
        <f t="shared" ca="1" si="29"/>
        <v>0</v>
      </c>
    </row>
    <row r="159" spans="1:23" s="618" customFormat="1" hidden="1">
      <c r="A159" s="617" t="b">
        <f ca="1">_xll.PALO.HIDEROW(ISBLANK($A$1))</f>
        <v>1</v>
      </c>
      <c r="S159"/>
      <c r="T159" s="619"/>
    </row>
    <row r="160" spans="1:23" s="618" customFormat="1" hidden="1">
      <c r="A160" s="617" t="b">
        <f ca="1">_xll.PALO.HIDEROW(ISBLANK($A$1))</f>
        <v>1</v>
      </c>
      <c r="D160" s="623" t="str">
        <f>T160</f>
        <v>Infrastructures andere</v>
      </c>
      <c r="E160" s="622">
        <f ca="1">SUM(E161:E173)</f>
        <v>9</v>
      </c>
      <c r="F160" s="622">
        <f ca="1">SUM(F161:F173)</f>
        <v>3215798.55</v>
      </c>
      <c r="G160" s="622">
        <f ca="1">SUM(G161:G173)</f>
        <v>1</v>
      </c>
      <c r="S160"/>
      <c r="T160" s="619" t="s">
        <v>314</v>
      </c>
    </row>
    <row r="161" spans="1:21" s="618" customFormat="1" hidden="1">
      <c r="A161" s="617" t="b">
        <f ca="1">_xll.PALO.HIDEROW(ISBLANK($A$1))</f>
        <v>1</v>
      </c>
      <c r="D161" s="621" t="str">
        <f t="shared" ref="D161:D167" ca="1" si="32">MID(T161,9,U161-8)</f>
        <v>INFRA-2021-ESFRI20-IBA</v>
      </c>
      <c r="E161" s="620">
        <f ca="1">_xll.PALO.DATAC("jedoxtest/EU_PM_CUBE02","EUPM_Mittel2_Cube",AT_ExSc_Datenstand,"Alle Beteiligungen","Alle Koordinatoren","Alle Unternehmensgrößen","-2","Alle Organisationstypen",28,"Alle Expertevaluierungsstatus","-2","-2",1,"-2","Alle",$S161,E$8)</f>
        <v>0</v>
      </c>
      <c r="F161" s="620">
        <f ca="1">_xll.PALO.DATAC("jedoxtest/EU_PM_CUBE02","EUPM_Mittel2_Cube",AT_ExSc_Datenstand,"Alle Beteiligungen","Alle Koordinatoren","Alle Unternehmensgrößen","-2","Alle Organisationstypen",28,"Alle Expertevaluierungsstatus","-2","-2",1,"-2","Alle",$S161,F$8)</f>
        <v>0</v>
      </c>
      <c r="G161" s="620">
        <f ca="1">_xll.PALO.DATAC("jedoxtest/EU_PM_CUBE02","EUPM_Mittel2_Cube",AT_ExSc_Datenstand,"Alle Beteiligungen","Alle Koordinatoren","Alle Unternehmensgrößen","-2","Alle Organisationstypen",28,"Alle Expertevaluierungsstatus","-2","-2",1,"-2","Alle",$S161,G$8)</f>
        <v>0</v>
      </c>
      <c r="S161">
        <v>2598</v>
      </c>
      <c r="T161" s="619" t="str">
        <f ca="1">_xll.PALO.DATA("jedoxtest/EU_PM_CUBE02","#_Call","Bezeichnung",$S161)</f>
        <v>HORIZON-INFRA-2021-ESFRI20-IBA</v>
      </c>
      <c r="U161" s="618">
        <f t="shared" ref="U161:U167" ca="1" si="33">LEN(T161)</f>
        <v>30</v>
      </c>
    </row>
    <row r="162" spans="1:21" s="618" customFormat="1" hidden="1">
      <c r="A162" s="617" t="b">
        <f ca="1">_xll.PALO.HIDEROW(ISBLANK($A$1))</f>
        <v>1</v>
      </c>
      <c r="D162" s="621" t="str">
        <f t="shared" ca="1" si="32"/>
        <v>INFRA-2021-ICRI-IBA</v>
      </c>
      <c r="E162" s="620">
        <f ca="1">_xll.PALO.DATAC("jedoxtest/EU_PM_CUBE02","EUPM_Mittel2_Cube",AT_ExSc_Datenstand,"Alle Beteiligungen","Alle Koordinatoren","Alle Unternehmensgrößen","-2","Alle Organisationstypen",28,"Alle Expertevaluierungsstatus","-2","-2",1,"-2","Alle",$S162,E$8)</f>
        <v>0</v>
      </c>
      <c r="F162" s="620">
        <f ca="1">_xll.PALO.DATAC("jedoxtest/EU_PM_CUBE02","EUPM_Mittel2_Cube",AT_ExSc_Datenstand,"Alle Beteiligungen","Alle Koordinatoren","Alle Unternehmensgrößen","-2","Alle Organisationstypen",28,"Alle Expertevaluierungsstatus","-2","-2",1,"-2","Alle",$S162,F$8)</f>
        <v>0</v>
      </c>
      <c r="G162" s="620">
        <f ca="1">_xll.PALO.DATAC("jedoxtest/EU_PM_CUBE02","EUPM_Mittel2_Cube",AT_ExSc_Datenstand,"Alle Beteiligungen","Alle Koordinatoren","Alle Unternehmensgrößen","-2","Alle Organisationstypen",28,"Alle Expertevaluierungsstatus","-2","-2",1,"-2","Alle",$S162,G$8)</f>
        <v>0</v>
      </c>
      <c r="S162">
        <v>2599</v>
      </c>
      <c r="T162" s="619" t="str">
        <f ca="1">_xll.PALO.DATA("jedoxtest/EU_PM_CUBE02","#_Call","Bezeichnung",$S162)</f>
        <v>HORIZON-INFRA-2021-ICRI-IBA</v>
      </c>
      <c r="U162" s="618">
        <f t="shared" ca="1" si="33"/>
        <v>27</v>
      </c>
    </row>
    <row r="163" spans="1:21" s="618" customFormat="1" hidden="1">
      <c r="A163" s="617" t="b">
        <f ca="1">_xll.PALO.HIDEROW(ISBLANK($A$1))</f>
        <v>1</v>
      </c>
      <c r="D163" s="621" t="str">
        <f t="shared" ca="1" si="32"/>
        <v>INFRA-2023-ERIC-ART195-IBA</v>
      </c>
      <c r="E163" s="620">
        <f ca="1">_xll.PALO.DATAC("jedoxtest/EU_PM_CUBE02","EUPM_Mittel2_Cube",AT_ExSc_Datenstand,"Alle Beteiligungen","Alle Koordinatoren","Alle Unternehmensgrößen","-2","Alle Organisationstypen",28,"Alle Expertevaluierungsstatus","-2","-2",1,"-2","Alle",$S163,E$8)</f>
        <v>1</v>
      </c>
      <c r="F163" s="620">
        <f ca="1">_xll.PALO.DATAC("jedoxtest/EU_PM_CUBE02","EUPM_Mittel2_Cube",AT_ExSc_Datenstand,"Alle Beteiligungen","Alle Koordinatoren","Alle Unternehmensgrößen","-2","Alle Organisationstypen",28,"Alle Expertevaluierungsstatus","-2","-2",1,"-2","Alle",$S163,F$8)</f>
        <v>736837.5</v>
      </c>
      <c r="G163" s="620">
        <f ca="1">_xll.PALO.DATAC("jedoxtest/EU_PM_CUBE02","EUPM_Mittel2_Cube",AT_ExSc_Datenstand,"Alle Beteiligungen","Alle Koordinatoren","Alle Unternehmensgrößen","-2","Alle Organisationstypen",28,"Alle Expertevaluierungsstatus","-2","-2",1,"-2","Alle",$S163,G$8)</f>
        <v>1</v>
      </c>
      <c r="S163">
        <v>2869</v>
      </c>
      <c r="T163" s="619" t="str">
        <f ca="1">_xll.PALO.DATA("jedoxtest/EU_PM_CUBE02","#_Call","Bezeichnung",$S163)</f>
        <v>HORIZON-INFRA-2023-ERIC-ART195-IBA</v>
      </c>
      <c r="U163" s="618">
        <f t="shared" ca="1" si="33"/>
        <v>34</v>
      </c>
    </row>
    <row r="164" spans="1:21" s="618" customFormat="1" hidden="1">
      <c r="A164" s="617" t="b">
        <f ca="1">_xll.PALO.HIDEROW(ISBLANK($A$1))</f>
        <v>1</v>
      </c>
      <c r="D164" s="621" t="str">
        <f t="shared" ca="1" si="32"/>
        <v>INFRA-2023-ES-CONF-ART195-IBA</v>
      </c>
      <c r="E164" s="620">
        <f ca="1">_xll.PALO.DATAC("jedoxtest/EU_PM_CUBE02","EUPM_Mittel2_Cube",AT_ExSc_Datenstand,"Alle Beteiligungen","Alle Koordinatoren","Alle Unternehmensgrößen","-2","Alle Organisationstypen",28,"Alle Expertevaluierungsstatus","-2","-2",1,"-2","Alle",$S164,E$8)</f>
        <v>0</v>
      </c>
      <c r="F164" s="620">
        <f ca="1">_xll.PALO.DATAC("jedoxtest/EU_PM_CUBE02","EUPM_Mittel2_Cube",AT_ExSc_Datenstand,"Alle Beteiligungen","Alle Koordinatoren","Alle Unternehmensgrößen","-2","Alle Organisationstypen",28,"Alle Expertevaluierungsstatus","-2","-2",1,"-2","Alle",$S164,F$8)</f>
        <v>0</v>
      </c>
      <c r="G164" s="620">
        <f ca="1">_xll.PALO.DATAC("jedoxtest/EU_PM_CUBE02","EUPM_Mittel2_Cube",AT_ExSc_Datenstand,"Alle Beteiligungen","Alle Koordinatoren","Alle Unternehmensgrößen","-2","Alle Organisationstypen",28,"Alle Expertevaluierungsstatus","-2","-2",1,"-2","Alle",$S164,G$8)</f>
        <v>0</v>
      </c>
      <c r="S164">
        <v>2870</v>
      </c>
      <c r="T164" s="619" t="str">
        <f ca="1">_xll.PALO.DATA("jedoxtest/EU_PM_CUBE02","#_Call","Bezeichnung",$S164)</f>
        <v>HORIZON-INFRA-2023-ES-CONF-ART195-IBA</v>
      </c>
      <c r="U164" s="618">
        <f t="shared" ca="1" si="33"/>
        <v>37</v>
      </c>
    </row>
    <row r="165" spans="1:21" s="618" customFormat="1" hidden="1">
      <c r="A165" s="617" t="b">
        <f ca="1">_xll.PALO.HIDEROW(ISBLANK($A$1))</f>
        <v>1</v>
      </c>
      <c r="D165" s="621" t="str">
        <f t="shared" ca="1" si="32"/>
        <v>INFRA-2023-SE-CONF-ART195-IBA</v>
      </c>
      <c r="E165" s="620">
        <f ca="1">_xll.PALO.DATAC("jedoxtest/EU_PM_CUBE02","EUPM_Mittel2_Cube",AT_ExSc_Datenstand,"Alle Beteiligungen","Alle Koordinatoren","Alle Unternehmensgrößen","-2","Alle Organisationstypen",28,"Alle Expertevaluierungsstatus","-2","-2",1,"-2","Alle",$S165,E$8)</f>
        <v>0</v>
      </c>
      <c r="F165" s="620">
        <f ca="1">_xll.PALO.DATAC("jedoxtest/EU_PM_CUBE02","EUPM_Mittel2_Cube",AT_ExSc_Datenstand,"Alle Beteiligungen","Alle Koordinatoren","Alle Unternehmensgrößen","-2","Alle Organisationstypen",28,"Alle Expertevaluierungsstatus","-2","-2",1,"-2","Alle",$S165,F$8)</f>
        <v>0</v>
      </c>
      <c r="G165" s="620">
        <f ca="1">_xll.PALO.DATAC("jedoxtest/EU_PM_CUBE02","EUPM_Mittel2_Cube",AT_ExSc_Datenstand,"Alle Beteiligungen","Alle Koordinatoren","Alle Unternehmensgrößen","-2","Alle Organisationstypen",28,"Alle Expertevaluierungsstatus","-2","-2",1,"-2","Alle",$S165,G$8)</f>
        <v>0</v>
      </c>
      <c r="S165">
        <v>2871</v>
      </c>
      <c r="T165" s="619" t="str">
        <f ca="1">_xll.PALO.DATA("jedoxtest/EU_PM_CUBE02","#_Call","Bezeichnung",$S165)</f>
        <v>HORIZON-INFRA-2023-SE-CONF-ART195-IBA</v>
      </c>
      <c r="U165" s="618">
        <f t="shared" ca="1" si="33"/>
        <v>37</v>
      </c>
    </row>
    <row r="166" spans="1:21" s="618" customFormat="1" hidden="1">
      <c r="A166" s="617" t="b">
        <f ca="1">_xll.PALO.HIDEROW(ISBLANK($A$1))</f>
        <v>1</v>
      </c>
      <c r="D166" s="621" t="str">
        <f t="shared" ca="1" si="32"/>
        <v>INFRA-2021-EMERGENCY-01</v>
      </c>
      <c r="E166" s="620">
        <f ca="1">_xll.PALO.DATAC("jedoxtest/EU_PM_CUBE02","EUPM_Mittel2_Cube",AT_ExSc_Datenstand,"Alle Beteiligungen","Alle Koordinatoren","Alle Unternehmensgrößen","-2","Alle Organisationstypen",28,"Alle Expertevaluierungsstatus","-2","-2",1,"-2","Alle",$S166,E$8)</f>
        <v>2</v>
      </c>
      <c r="F166" s="620">
        <f ca="1">_xll.PALO.DATAC("jedoxtest/EU_PM_CUBE02","EUPM_Mittel2_Cube",AT_ExSc_Datenstand,"Alle Beteiligungen","Alle Koordinatoren","Alle Unternehmensgrößen","-2","Alle Organisationstypen",28,"Alle Expertevaluierungsstatus","-2","-2",1,"-2","Alle",$S166,F$8)</f>
        <v>1199057.1299999999</v>
      </c>
      <c r="G166" s="620">
        <f ca="1">_xll.PALO.DATAC("jedoxtest/EU_PM_CUBE02","EUPM_Mittel2_Cube",AT_ExSc_Datenstand,"Alle Beteiligungen","Alle Koordinatoren","Alle Unternehmensgrößen","-2","Alle Organisationstypen",28,"Alle Expertevaluierungsstatus","-2","-2",1,"-2","Alle",$S166,G$8)</f>
        <v>0</v>
      </c>
      <c r="S166">
        <v>2595</v>
      </c>
      <c r="T166" s="619" t="str">
        <f ca="1">_xll.PALO.DATA("jedoxtest/EU_PM_CUBE02","#_Call","Bezeichnung",$S166)</f>
        <v>HORIZON-INFRA-2021-EMERGENCY-01</v>
      </c>
      <c r="U166" s="618">
        <f t="shared" ca="1" si="33"/>
        <v>31</v>
      </c>
    </row>
    <row r="167" spans="1:21" s="618" customFormat="1" hidden="1">
      <c r="A167" s="617" t="b">
        <f ca="1">_xll.PALO.HIDEROW(ISBLANK($A$1))</f>
        <v>1</v>
      </c>
      <c r="D167" s="621" t="str">
        <f t="shared" ca="1" si="32"/>
        <v>INFRA-2021-EMERGENCY-02</v>
      </c>
      <c r="E167" s="620">
        <f ca="1">_xll.PALO.DATAC("jedoxtest/EU_PM_CUBE02","EUPM_Mittel2_Cube",AT_ExSc_Datenstand,"Alle Beteiligungen","Alle Koordinatoren","Alle Unternehmensgrößen","-2","Alle Organisationstypen",28,"Alle Expertevaluierungsstatus","-2","-2",1,"-2","Alle",$S167,E$8)</f>
        <v>5</v>
      </c>
      <c r="F167" s="620">
        <f ca="1">_xll.PALO.DATAC("jedoxtest/EU_PM_CUBE02","EUPM_Mittel2_Cube",AT_ExSc_Datenstand,"Alle Beteiligungen","Alle Koordinatoren","Alle Unternehmensgrößen","-2","Alle Organisationstypen",28,"Alle Expertevaluierungsstatus","-2","-2",1,"-2","Alle",$S167,F$8)</f>
        <v>1266152.92</v>
      </c>
      <c r="G167" s="620">
        <f ca="1">_xll.PALO.DATAC("jedoxtest/EU_PM_CUBE02","EUPM_Mittel2_Cube",AT_ExSc_Datenstand,"Alle Beteiligungen","Alle Koordinatoren","Alle Unternehmensgrößen","-2","Alle Organisationstypen",28,"Alle Expertevaluierungsstatus","-2","-2",1,"-2","Alle",$S167,G$8)</f>
        <v>0</v>
      </c>
      <c r="S167">
        <v>2596</v>
      </c>
      <c r="T167" s="619" t="str">
        <f ca="1">_xll.PALO.DATA("jedoxtest/EU_PM_CUBE02","#_Call","Bezeichnung",$S167)</f>
        <v>HORIZON-INFRA-2021-EMERGENCY-02</v>
      </c>
      <c r="U167" s="618">
        <f t="shared" ca="1" si="33"/>
        <v>31</v>
      </c>
    </row>
    <row r="168" spans="1:21" s="618" customFormat="1" hidden="1">
      <c r="A168" s="617" t="b">
        <f ca="1">_xll.PALO.HIDEROW(ISBLANK($A$1))</f>
        <v>1</v>
      </c>
      <c r="D168" s="621" t="str">
        <f t="shared" ref="D168:D169" ca="1" si="34">MID(T168,9,U168-8)</f>
        <v>INFRA-2024-BE-CONF-ART195-IBA</v>
      </c>
      <c r="E168" s="620">
        <f ca="1">_xll.PALO.DATAC("jedoxtest/EU_PM_CUBE02","EUPM_Mittel2_Cube",AT_ExSc_Datenstand,"Alle Beteiligungen","Alle Koordinatoren","Alle Unternehmensgrößen","-2","Alle Organisationstypen",28,"Alle Expertevaluierungsstatus","-2","-2",1,"-2","Alle",$S168,E$8)</f>
        <v>0</v>
      </c>
      <c r="F168" s="620">
        <f ca="1">_xll.PALO.DATAC("jedoxtest/EU_PM_CUBE02","EUPM_Mittel2_Cube",AT_ExSc_Datenstand,"Alle Beteiligungen","Alle Koordinatoren","Alle Unternehmensgrößen","-2","Alle Organisationstypen",28,"Alle Expertevaluierungsstatus","-2","-2",1,"-2","Alle",$S168,F$8)</f>
        <v>0</v>
      </c>
      <c r="G168" s="620">
        <f ca="1">_xll.PALO.DATAC("jedoxtest/EU_PM_CUBE02","EUPM_Mittel2_Cube",AT_ExSc_Datenstand,"Alle Beteiligungen","Alle Koordinatoren","Alle Unternehmensgrößen","-2","Alle Organisationstypen",28,"Alle Expertevaluierungsstatus","-2","-2",1,"-2","Alle",$S168,G$8)</f>
        <v>0</v>
      </c>
      <c r="S168">
        <v>3030</v>
      </c>
      <c r="T168" s="619" t="str">
        <f ca="1">_xll.PALO.DATA("jedoxtest/EU_PM_CUBE02","#_Call","Bezeichnung",$S168)</f>
        <v>HORIZON-INFRA-2024-BE-CONF-ART195-IBA</v>
      </c>
      <c r="U168" s="618">
        <f t="shared" ref="U168:U170" ca="1" si="35">LEN(T168)</f>
        <v>37</v>
      </c>
    </row>
    <row r="169" spans="1:21" s="618" customFormat="1" hidden="1">
      <c r="A169" s="617" t="b">
        <f ca="1">_xll.PALO.HIDEROW(ISBLANK($A$1))</f>
        <v>1</v>
      </c>
      <c r="D169" s="621" t="str">
        <f t="shared" ca="1" si="34"/>
        <v>INFRA-2024-SESAME-IBA</v>
      </c>
      <c r="E169" s="620">
        <f ca="1">_xll.PALO.DATAC("jedoxtest/EU_PM_CUBE02","EUPM_Mittel2_Cube",AT_ExSc_Datenstand,"Alle Beteiligungen","Alle Koordinatoren","Alle Unternehmensgrößen","-2","Alle Organisationstypen",28,"Alle Expertevaluierungsstatus","-2","-2",1,"-2","Alle",$S169,E$8)</f>
        <v>0</v>
      </c>
      <c r="F169" s="620">
        <f ca="1">_xll.PALO.DATAC("jedoxtest/EU_PM_CUBE02","EUPM_Mittel2_Cube",AT_ExSc_Datenstand,"Alle Beteiligungen","Alle Koordinatoren","Alle Unternehmensgrößen","-2","Alle Organisationstypen",28,"Alle Expertevaluierungsstatus","-2","-2",1,"-2","Alle",$S169,F$8)</f>
        <v>0</v>
      </c>
      <c r="G169" s="620">
        <f ca="1">_xll.PALO.DATAC("jedoxtest/EU_PM_CUBE02","EUPM_Mittel2_Cube",AT_ExSc_Datenstand,"Alle Beteiligungen","Alle Koordinatoren","Alle Unternehmensgrößen","-2","Alle Organisationstypen",28,"Alle Expertevaluierungsstatus","-2","-2",1,"-2","Alle",$S169,G$8)</f>
        <v>0</v>
      </c>
      <c r="S169">
        <v>3032</v>
      </c>
      <c r="T169" s="619" t="str">
        <f ca="1">_xll.PALO.DATA("jedoxtest/EU_PM_CUBE02","#_Call","Bezeichnung",$S169)</f>
        <v>HORIZON-INFRA-2024-SESAME-IBA</v>
      </c>
      <c r="U169" s="618">
        <f t="shared" ca="1" si="35"/>
        <v>29</v>
      </c>
    </row>
    <row r="170" spans="1:21" s="618" customFormat="1" hidden="1">
      <c r="A170" s="617" t="b">
        <f ca="1">_xll.PALO.HIDEROW(ISBLANK($A$1))</f>
        <v>1</v>
      </c>
      <c r="D170" s="621" t="str">
        <f t="shared" ref="D170:D171" ca="1" si="36">MID(T170,9,U170-8)</f>
        <v>INFRA-2024-GEANT-01-SGA</v>
      </c>
      <c r="E170" s="620">
        <f ca="1">_xll.PALO.DATAC("jedoxtest/EU_PM_CUBE02","EUPM_Mittel2_Cube",AT_ExSc_Datenstand,"Alle Beteiligungen","Alle Koordinatoren","Alle Unternehmensgrößen","-2","Alle Organisationstypen",28,"Alle Expertevaluierungsstatus","-2","-2",1,"-2","Alle",$S170,E$8)</f>
        <v>1</v>
      </c>
      <c r="F170" s="620">
        <f ca="1">_xll.PALO.DATAC("jedoxtest/EU_PM_CUBE02","EUPM_Mittel2_Cube",AT_ExSc_Datenstand,"Alle Beteiligungen","Alle Koordinatoren","Alle Unternehmensgrößen","-2","Alle Organisationstypen",28,"Alle Expertevaluierungsstatus","-2","-2",1,"-2","Alle",$S170,F$8)</f>
        <v>13751</v>
      </c>
      <c r="G170" s="620">
        <f ca="1">_xll.PALO.DATAC("jedoxtest/EU_PM_CUBE02","EUPM_Mittel2_Cube",AT_ExSc_Datenstand,"Alle Beteiligungen","Alle Koordinatoren","Alle Unternehmensgrößen","-2","Alle Organisationstypen",28,"Alle Expertevaluierungsstatus","-2","-2",1,"-2","Alle",$S170,G$8)</f>
        <v>0</v>
      </c>
      <c r="S170">
        <v>3116</v>
      </c>
      <c r="T170" s="619" t="str">
        <f ca="1">_xll.PALO.DATA("jedoxtest/EU_PM_CUBE02","#_Call","Bezeichnung",$S170)</f>
        <v>HORIZON-INFRA-2024-GEANT-01-SGA</v>
      </c>
      <c r="U170" s="618">
        <f t="shared" ca="1" si="35"/>
        <v>31</v>
      </c>
    </row>
    <row r="171" spans="1:21" s="618" customFormat="1" hidden="1">
      <c r="A171" s="617" t="b">
        <f ca="1">_xll.PALO.HIDEROW(ISBLANK($A$1))</f>
        <v>1</v>
      </c>
      <c r="D171" s="621" t="str">
        <f t="shared" ca="1" si="36"/>
        <v>INFRA-2024-ICRI-IBA</v>
      </c>
      <c r="E171" s="620">
        <f ca="1">_xll.PALO.DATAC("jedoxtest/EU_PM_CUBE02","EUPM_Mittel2_Cube",AT_ExSc_Datenstand,"Alle Beteiligungen","Alle Koordinatoren","Alle Unternehmensgrößen","-2","Alle Organisationstypen",28,"Alle Expertevaluierungsstatus","-2","-2",1,"-2","Alle",$S171,E$8)</f>
        <v>0</v>
      </c>
      <c r="F171" s="620">
        <f ca="1">_xll.PALO.DATAC("jedoxtest/EU_PM_CUBE02","EUPM_Mittel2_Cube",AT_ExSc_Datenstand,"Alle Beteiligungen","Alle Koordinatoren","Alle Unternehmensgrößen","-2","Alle Organisationstypen",28,"Alle Expertevaluierungsstatus","-2","-2",1,"-2","Alle",$S171,F$8)</f>
        <v>0</v>
      </c>
      <c r="G171" s="620">
        <f ca="1">_xll.PALO.DATAC("jedoxtest/EU_PM_CUBE02","EUPM_Mittel2_Cube",AT_ExSc_Datenstand,"Alle Beteiligungen","Alle Koordinatoren","Alle Unternehmensgrößen","-2","Alle Organisationstypen",28,"Alle Expertevaluierungsstatus","-2","-2",1,"-2","Alle",$S171,G$8)</f>
        <v>0</v>
      </c>
      <c r="S171">
        <v>3031</v>
      </c>
      <c r="T171" s="619" t="str">
        <f ca="1">_xll.PALO.DATA("jedoxtest/EU_PM_CUBE02","#_Call","Bezeichnung",$S171)</f>
        <v>HORIZON-INFRA-2024-ICRI-IBA</v>
      </c>
      <c r="U171" s="618">
        <f t="shared" ref="U171" ca="1" si="37">LEN(T171)</f>
        <v>27</v>
      </c>
    </row>
    <row r="172" spans="1:21" s="618" customFormat="1" hidden="1">
      <c r="A172" s="617" t="b">
        <f ca="1">_xll.PALO.HIDEROW(ISBLANK($A$1))</f>
        <v>1</v>
      </c>
      <c r="D172" s="621" t="str">
        <f t="shared" ref="D172:D179" ca="1" si="38">MID(T172,9,U172-8)</f>
        <v>INFRA-2025-DK-CONF-IBA</v>
      </c>
      <c r="E172" s="620">
        <f ca="1">_xll.PALO.DATAC("jedoxtest/EU_PM_CUBE02","EUPM_Mittel2_Cube",AT_ExSc_Datenstand,"Alle Beteiligungen","Alle Koordinatoren","Alle Unternehmensgrößen","-2","Alle Organisationstypen",28,"Alle Expertevaluierungsstatus","-2","-2",1,"-2","Alle",$S172,E$8)</f>
        <v>0</v>
      </c>
      <c r="F172" s="620">
        <f ca="1">_xll.PALO.DATAC("jedoxtest/EU_PM_CUBE02","EUPM_Mittel2_Cube",AT_ExSc_Datenstand,"Alle Beteiligungen","Alle Koordinatoren","Alle Unternehmensgrößen","-2","Alle Organisationstypen",28,"Alle Expertevaluierungsstatus","-2","-2",1,"-2","Alle",$S172,F$8)</f>
        <v>0</v>
      </c>
      <c r="G172" s="620">
        <f ca="1">_xll.PALO.DATAC("jedoxtest/EU_PM_CUBE02","EUPM_Mittel2_Cube",AT_ExSc_Datenstand,"Alle Beteiligungen","Alle Koordinatoren","Alle Unternehmensgrößen","-2","Alle Organisationstypen",28,"Alle Expertevaluierungsstatus","-2","-2",1,"-2","Alle",$S172,G$8)</f>
        <v>0</v>
      </c>
      <c r="S172" s="664">
        <v>5240</v>
      </c>
      <c r="T172" s="619" t="str">
        <f ca="1">_xll.PALO.DATA("jedoxtest/EU_PM_CUBE02","#_Call","Bezeichnung",$S172)</f>
        <v>HORIZON-INFRA-2025-DK-CONF-IBA</v>
      </c>
      <c r="U172" s="618">
        <f t="shared" ref="U172:U179" ca="1" si="39">LEN(T172)</f>
        <v>30</v>
      </c>
    </row>
    <row r="173" spans="1:21" s="618" customFormat="1" hidden="1">
      <c r="A173" s="617" t="b">
        <f ca="1">_xll.PALO.HIDEROW(ISBLANK($A$1))</f>
        <v>1</v>
      </c>
      <c r="D173" s="621" t="str">
        <f t="shared" ca="1" si="38"/>
        <v>INFRA-2025-GAZA-IBA</v>
      </c>
      <c r="E173" s="620">
        <f ca="1">_xll.PALO.DATAC("jedoxtest/EU_PM_CUBE02","EUPM_Mittel2_Cube",AT_ExSc_Datenstand,"Alle Beteiligungen","Alle Koordinatoren","Alle Unternehmensgrößen","-2","Alle Organisationstypen",28,"Alle Expertevaluierungsstatus","-2","-2",1,"-2","Alle",$S173,E$8)</f>
        <v>0</v>
      </c>
      <c r="F173" s="620">
        <f ca="1">_xll.PALO.DATAC("jedoxtest/EU_PM_CUBE02","EUPM_Mittel2_Cube",AT_ExSc_Datenstand,"Alle Beteiligungen","Alle Koordinatoren","Alle Unternehmensgrößen","-2","Alle Organisationstypen",28,"Alle Expertevaluierungsstatus","-2","-2",1,"-2","Alle",$S173,F$8)</f>
        <v>0</v>
      </c>
      <c r="G173" s="620">
        <f ca="1">_xll.PALO.DATAC("jedoxtest/EU_PM_CUBE02","EUPM_Mittel2_Cube",AT_ExSc_Datenstand,"Alle Beteiligungen","Alle Koordinatoren","Alle Unternehmensgrößen","-2","Alle Organisationstypen",28,"Alle Expertevaluierungsstatus","-2","-2",1,"-2","Alle",$S173,G$8)</f>
        <v>0</v>
      </c>
      <c r="S173" s="664">
        <v>5263</v>
      </c>
      <c r="T173" s="619" t="str">
        <f ca="1">_xll.PALO.DATA("jedoxtest/EU_PM_CUBE02","#_Call","Bezeichnung",$S173)</f>
        <v>HORIZON-INFRA-2025-GAZA-IBA</v>
      </c>
      <c r="U173" s="618">
        <f t="shared" ca="1" si="39"/>
        <v>27</v>
      </c>
    </row>
    <row r="174" spans="1:21" s="618" customFormat="1" hidden="1">
      <c r="A174" s="617" t="b">
        <f ca="1">_xll.PALO.HIDEROW(ISBLANK($A$1))</f>
        <v>1</v>
      </c>
      <c r="D174" s="621" t="str">
        <f t="shared" ca="1" si="38"/>
        <v>INFRA-2025-ICRI-IBA</v>
      </c>
      <c r="E174" s="620">
        <f ca="1">_xll.PALO.DATAC("jedoxtest/EU_PM_CUBE02","EUPM_Mittel2_Cube",AT_ExSc_Datenstand,"Alle Beteiligungen","Alle Koordinatoren","Alle Unternehmensgrößen","-2","Alle Organisationstypen",28,"Alle Expertevaluierungsstatus","-2","-2",1,"-2","Alle",$S174,E$8)</f>
        <v>0</v>
      </c>
      <c r="F174" s="620">
        <f ca="1">_xll.PALO.DATAC("jedoxtest/EU_PM_CUBE02","EUPM_Mittel2_Cube",AT_ExSc_Datenstand,"Alle Beteiligungen","Alle Koordinatoren","Alle Unternehmensgrößen","-2","Alle Organisationstypen",28,"Alle Expertevaluierungsstatus","-2","-2",1,"-2","Alle",$S174,F$8)</f>
        <v>0</v>
      </c>
      <c r="G174" s="620">
        <f ca="1">_xll.PALO.DATAC("jedoxtest/EU_PM_CUBE02","EUPM_Mittel2_Cube",AT_ExSc_Datenstand,"Alle Beteiligungen","Alle Koordinatoren","Alle Unternehmensgrößen","-2","Alle Organisationstypen",28,"Alle Expertevaluierungsstatus","-2","-2",1,"-2","Alle",$S174,G$8)</f>
        <v>0</v>
      </c>
      <c r="S174" s="664">
        <v>5264</v>
      </c>
      <c r="T174" s="619" t="str">
        <f ca="1">_xll.PALO.DATA("jedoxtest/EU_PM_CUBE02","#_Call","Bezeichnung",$S174)</f>
        <v>HORIZON-INFRA-2025-ICRI-IBA</v>
      </c>
      <c r="U174" s="618">
        <f t="shared" ca="1" si="39"/>
        <v>27</v>
      </c>
    </row>
    <row r="175" spans="1:21" s="618" customFormat="1" hidden="1">
      <c r="A175" s="617" t="b">
        <f ca="1">_xll.PALO.HIDEROW(ISBLANK($A$1))</f>
        <v>1</v>
      </c>
      <c r="D175" s="621" t="str">
        <f t="shared" ca="1" si="38"/>
        <v>EURATOM-HORIZONTAL-2025-09-IBA</v>
      </c>
      <c r="E175" s="620">
        <f ca="1">_xll.PALO.DATAC("jedoxtest/EU_PM_CUBE02","EUPM_Mittel2_Cube",AT_ExSc_Datenstand,"Alle Beteiligungen","Alle Koordinatoren","Alle Unternehmensgrößen","-2","Alle Organisationstypen",28,"Alle Expertevaluierungsstatus","-2","-2",1,"-2","Alle",$S175,E$8)</f>
        <v>0</v>
      </c>
      <c r="F175" s="620">
        <f ca="1">_xll.PALO.DATAC("jedoxtest/EU_PM_CUBE02","EUPM_Mittel2_Cube",AT_ExSc_Datenstand,"Alle Beteiligungen","Alle Koordinatoren","Alle Unternehmensgrößen","-2","Alle Organisationstypen",28,"Alle Expertevaluierungsstatus","-2","-2",1,"-2","Alle",$S175,F$8)</f>
        <v>0</v>
      </c>
      <c r="G175" s="620">
        <f ca="1">_xll.PALO.DATAC("jedoxtest/EU_PM_CUBE02","EUPM_Mittel2_Cube",AT_ExSc_Datenstand,"Alle Beteiligungen","Alle Koordinatoren","Alle Unternehmensgrößen","-2","Alle Organisationstypen",28,"Alle Expertevaluierungsstatus","-2","-2",1,"-2","Alle",$S175,G$8)</f>
        <v>0</v>
      </c>
      <c r="S175">
        <v>5352</v>
      </c>
      <c r="T175" s="619" t="str">
        <f ca="1">_xll.PALO.DATA("jedoxtest/EU_PM_CUBE02","#_Call","Bezeichnung",$S175)</f>
        <v>HORIZON-EURATOM-HORIZONTAL-2025-09-IBA</v>
      </c>
      <c r="U175" s="618">
        <f t="shared" ca="1" si="39"/>
        <v>38</v>
      </c>
    </row>
    <row r="176" spans="1:21" s="618" customFormat="1" hidden="1">
      <c r="A176" s="617" t="b">
        <f ca="1">_xll.PALO.HIDEROW(ISBLANK($A$1))</f>
        <v>1</v>
      </c>
      <c r="D176" s="621" t="str">
        <f t="shared" ca="1" si="38"/>
        <v>INFRA-2025-01</v>
      </c>
      <c r="E176" s="620">
        <f ca="1">_xll.PALO.DATAC("jedoxtest/EU_PM_CUBE02","EUPM_Mittel2_Cube",AT_ExSc_Datenstand,"Alle Beteiligungen","Alle Koordinatoren","Alle Unternehmensgrößen","-2","Alle Organisationstypen",28,"Alle Expertevaluierungsstatus","-2","-2",1,"-2","Alle",$S176,E$8)</f>
        <v>29</v>
      </c>
      <c r="F176" s="620">
        <f ca="1">_xll.PALO.DATAC("jedoxtest/EU_PM_CUBE02","EUPM_Mittel2_Cube",AT_ExSc_Datenstand,"Alle Beteiligungen","Alle Koordinatoren","Alle Unternehmensgrößen","-2","Alle Organisationstypen",28,"Alle Expertevaluierungsstatus","-2","-2",1,"-2","Alle",$S176,F$8)</f>
        <v>6001965.3600000003</v>
      </c>
      <c r="G176" s="620">
        <f ca="1">_xll.PALO.DATAC("jedoxtest/EU_PM_CUBE02","EUPM_Mittel2_Cube",AT_ExSc_Datenstand,"Alle Beteiligungen","Alle Koordinatoren","Alle Unternehmensgrößen","-2","Alle Organisationstypen",28,"Alle Expertevaluierungsstatus","-2","-2",1,"-2","Alle",$S176,G$8)</f>
        <v>1</v>
      </c>
      <c r="S176">
        <v>5325</v>
      </c>
      <c r="T176" s="619" t="str">
        <f ca="1">_xll.PALO.DATA("jedoxtest/EU_PM_CUBE02","#_Call","Bezeichnung",$S176)</f>
        <v>HORIZON-INFRA-2025-01</v>
      </c>
      <c r="U176" s="618">
        <f t="shared" ca="1" si="39"/>
        <v>21</v>
      </c>
    </row>
    <row r="177" spans="1:21" s="618" customFormat="1" hidden="1">
      <c r="A177" s="617" t="b">
        <f ca="1">_xll.PALO.HIDEROW(ISBLANK($A$1))</f>
        <v>1</v>
      </c>
      <c r="D177" s="621" t="e">
        <f t="shared" ca="1" si="38"/>
        <v>#VALUE!</v>
      </c>
      <c r="E177" s="620" t="str">
        <f ca="1">_xll.PALO.DATAC("jedoxtest/EU_PM_CUBE02","EUPM_Mittel2_Cube",AT_ExSc_Datenstand,"Alle Beteiligungen","Alle Koordinatoren","Alle Unternehmensgrößen","-2","Alle Organisationstypen",28,"Alle Expertevaluierungsstatus","-2","-2",1,"-2","Alle",$S177,E$8)</f>
        <v/>
      </c>
      <c r="F177" s="620" t="str">
        <f ca="1">_xll.PALO.DATAC("jedoxtest/EU_PM_CUBE02","EUPM_Mittel2_Cube",AT_ExSc_Datenstand,"Alle Beteiligungen","Alle Koordinatoren","Alle Unternehmensgrößen","-2","Alle Organisationstypen",28,"Alle Expertevaluierungsstatus","-2","-2",1,"-2","Alle",$S177,F$8)</f>
        <v/>
      </c>
      <c r="G177" s="620" t="str">
        <f ca="1">_xll.PALO.DATAC("jedoxtest/EU_PM_CUBE02","EUPM_Mittel2_Cube",AT_ExSc_Datenstand,"Alle Beteiligungen","Alle Koordinatoren","Alle Unternehmensgrößen","-2","Alle Organisationstypen",28,"Alle Expertevaluierungsstatus","-2","-2",1,"-2","Alle",$S177,G$8)</f>
        <v/>
      </c>
      <c r="S177" s="664"/>
      <c r="T177" s="619" t="str">
        <f ca="1">_xll.PALO.DATA("jedoxtest/EU_PM_CUBE02","#_Call","Bezeichnung",$S177)</f>
        <v/>
      </c>
      <c r="U177" s="618">
        <f t="shared" ca="1" si="39"/>
        <v>0</v>
      </c>
    </row>
    <row r="178" spans="1:21" s="618" customFormat="1" hidden="1">
      <c r="A178" s="617" t="b">
        <f ca="1">_xll.PALO.HIDEROW(ISBLANK($A$1))</f>
        <v>1</v>
      </c>
      <c r="D178" s="621" t="e">
        <f t="shared" ca="1" si="38"/>
        <v>#VALUE!</v>
      </c>
      <c r="E178" s="620" t="str">
        <f ca="1">_xll.PALO.DATAC("jedoxtest/EU_PM_CUBE02","EUPM_Mittel2_Cube",AT_ExSc_Datenstand,"Alle Beteiligungen","Alle Koordinatoren","Alle Unternehmensgrößen","-2","Alle Organisationstypen",28,"Alle Expertevaluierungsstatus","-2","-2",1,"-2","Alle",$S178,E$8)</f>
        <v/>
      </c>
      <c r="F178" s="620" t="str">
        <f ca="1">_xll.PALO.DATAC("jedoxtest/EU_PM_CUBE02","EUPM_Mittel2_Cube",AT_ExSc_Datenstand,"Alle Beteiligungen","Alle Koordinatoren","Alle Unternehmensgrößen","-2","Alle Organisationstypen",28,"Alle Expertevaluierungsstatus","-2","-2",1,"-2","Alle",$S178,F$8)</f>
        <v/>
      </c>
      <c r="G178" s="620" t="str">
        <f ca="1">_xll.PALO.DATAC("jedoxtest/EU_PM_CUBE02","EUPM_Mittel2_Cube",AT_ExSc_Datenstand,"Alle Beteiligungen","Alle Koordinatoren","Alle Unternehmensgrößen","-2","Alle Organisationstypen",28,"Alle Expertevaluierungsstatus","-2","-2",1,"-2","Alle",$S178,G$8)</f>
        <v/>
      </c>
      <c r="S178" s="664"/>
      <c r="T178" s="619" t="str">
        <f ca="1">_xll.PALO.DATA("jedoxtest/EU_PM_CUBE02","#_Call","Bezeichnung",$S178)</f>
        <v/>
      </c>
      <c r="U178" s="618">
        <f t="shared" ca="1" si="39"/>
        <v>0</v>
      </c>
    </row>
    <row r="179" spans="1:21" s="618" customFormat="1" hidden="1">
      <c r="A179" s="617" t="b">
        <f ca="1">_xll.PALO.HIDEROW(ISBLANK($A$1))</f>
        <v>1</v>
      </c>
      <c r="D179" s="621" t="e">
        <f t="shared" ca="1" si="38"/>
        <v>#VALUE!</v>
      </c>
      <c r="E179" s="620" t="str">
        <f ca="1">_xll.PALO.DATAC("jedoxtest/EU_PM_CUBE02","EUPM_Mittel2_Cube",AT_ExSc_Datenstand,"Alle Beteiligungen","Alle Koordinatoren","Alle Unternehmensgrößen","-2","Alle Organisationstypen",28,"Alle Expertevaluierungsstatus","-2","-2",1,"-2","Alle",$S179,E$8)</f>
        <v/>
      </c>
      <c r="F179" s="620" t="str">
        <f ca="1">_xll.PALO.DATAC("jedoxtest/EU_PM_CUBE02","EUPM_Mittel2_Cube",AT_ExSc_Datenstand,"Alle Beteiligungen","Alle Koordinatoren","Alle Unternehmensgrößen","-2","Alle Organisationstypen",28,"Alle Expertevaluierungsstatus","-2","-2",1,"-2","Alle",$S179,F$8)</f>
        <v/>
      </c>
      <c r="G179" s="620" t="str">
        <f ca="1">_xll.PALO.DATAC("jedoxtest/EU_PM_CUBE02","EUPM_Mittel2_Cube",AT_ExSc_Datenstand,"Alle Beteiligungen","Alle Koordinatoren","Alle Unternehmensgrößen","-2","Alle Organisationstypen",28,"Alle Expertevaluierungsstatus","-2","-2",1,"-2","Alle",$S179,G$8)</f>
        <v/>
      </c>
      <c r="S179"/>
      <c r="T179" s="619" t="str">
        <f ca="1">_xll.PALO.DATA("jedoxtest/EU_PM_CUBE02","#_Call","Bezeichnung",$S179)</f>
        <v/>
      </c>
      <c r="U179" s="618">
        <f t="shared" ca="1" si="39"/>
        <v>0</v>
      </c>
    </row>
    <row r="180" spans="1:21" s="618" customFormat="1">
      <c r="S180"/>
      <c r="T180" s="619"/>
    </row>
    <row r="181" spans="1:21" s="618" customFormat="1">
      <c r="D181" s="721" t="str">
        <f ca="1">"Quelle: EC "&amp;_xll.PALO.DATA("jedoxtest/EU_PM_CUBE02","#_Datenstand","reference_month",AT_ExSc_Datenstand)&amp;"/"&amp;_xll.PALO.DATA("jedoxtest/EU_PM_CUBE02","#_Datenstand","reference_year",AT_ExSc_Datenstand)&amp;"; Darstellung FFG"</f>
        <v>Quelle: EC 5/2026; Darstellung FFG</v>
      </c>
      <c r="E181" s="721"/>
      <c r="F181" s="721"/>
      <c r="G181" s="721"/>
      <c r="S181" s="617"/>
      <c r="T181" s="619"/>
    </row>
    <row r="182" spans="1:21" s="618" customFormat="1">
      <c r="D182" s="721" t="str">
        <f ca="1">"Datenstand: "&amp;_xll.PALO.DATA("jedoxtest/EU_PM_CUBE02","#_Datenstand","reference_day",AT_ExSc_Datenstand)&amp;"."&amp;_xll.PALO.DATA("jedoxtest/EU_PM_CUBE02","#_Datenstand","reference_month",AT_ExSc_Datenstand)&amp;"."&amp;_xll.PALO.DATA("jedoxtest/EU_PM_CUBE02","#_Datenstand","reference_year",AT_ExSc_Datenstand)</f>
        <v>Datenstand: 19.5.2026</v>
      </c>
      <c r="E182" s="721"/>
      <c r="F182" s="721"/>
      <c r="G182" s="721"/>
      <c r="S182" s="617"/>
      <c r="T182" s="619"/>
    </row>
    <row r="183" spans="1:21" s="618" customFormat="1">
      <c r="S183" s="617"/>
      <c r="T183" s="619"/>
    </row>
    <row r="184" spans="1:21" s="618" customFormat="1">
      <c r="S184" s="617"/>
      <c r="T184" s="619"/>
    </row>
    <row r="185" spans="1:21" s="618" customFormat="1">
      <c r="S185" s="617"/>
      <c r="T185" s="619"/>
    </row>
    <row r="186" spans="1:21" s="618" customFormat="1">
      <c r="S186" s="617"/>
      <c r="T186" s="619"/>
    </row>
    <row r="187" spans="1:21" s="618" customFormat="1">
      <c r="S187" s="617"/>
      <c r="T187" s="619"/>
    </row>
    <row r="188" spans="1:21" s="618" customFormat="1">
      <c r="S188" s="617"/>
      <c r="T188" s="619"/>
    </row>
    <row r="189" spans="1:21" s="618" customFormat="1">
      <c r="S189" s="617"/>
      <c r="T189" s="619"/>
    </row>
    <row r="190" spans="1:21" s="618" customFormat="1">
      <c r="S190" s="617"/>
      <c r="T190" s="619"/>
    </row>
    <row r="191" spans="1:21" s="618" customFormat="1">
      <c r="S191" s="617"/>
      <c r="T191" s="619"/>
    </row>
    <row r="192" spans="1:21" s="618" customFormat="1">
      <c r="S192" s="617"/>
      <c r="T192" s="619"/>
    </row>
    <row r="193" spans="19:20" s="618" customFormat="1">
      <c r="S193" s="617"/>
      <c r="T193" s="619"/>
    </row>
    <row r="194" spans="19:20" s="618" customFormat="1">
      <c r="S194" s="617"/>
      <c r="T194" s="619"/>
    </row>
    <row r="195" spans="19:20" s="618" customFormat="1">
      <c r="S195" s="617"/>
      <c r="T195" s="619"/>
    </row>
    <row r="196" spans="19:20" s="618" customFormat="1">
      <c r="S196" s="617"/>
      <c r="T196" s="619"/>
    </row>
    <row r="197" spans="19:20" s="618" customFormat="1">
      <c r="S197" s="617"/>
      <c r="T197" s="619"/>
    </row>
    <row r="198" spans="19:20" s="618" customFormat="1">
      <c r="S198" s="617"/>
      <c r="T198" s="619"/>
    </row>
    <row r="199" spans="19:20" s="618" customFormat="1">
      <c r="S199" s="617"/>
      <c r="T199" s="619"/>
    </row>
    <row r="200" spans="19:20" s="618" customFormat="1">
      <c r="S200" s="617"/>
      <c r="T200" s="619"/>
    </row>
    <row r="201" spans="19:20" s="618" customFormat="1">
      <c r="S201" s="617"/>
      <c r="T201" s="619"/>
    </row>
    <row r="202" spans="19:20" s="618" customFormat="1">
      <c r="S202" s="617"/>
      <c r="T202" s="619"/>
    </row>
    <row r="203" spans="19:20" s="618" customFormat="1">
      <c r="S203" s="617"/>
      <c r="T203" s="619"/>
    </row>
    <row r="204" spans="19:20" s="618" customFormat="1">
      <c r="S204" s="617"/>
      <c r="T204" s="619"/>
    </row>
    <row r="205" spans="19:20" s="618" customFormat="1">
      <c r="S205" s="617"/>
      <c r="T205" s="619"/>
    </row>
    <row r="206" spans="19:20" s="618" customFormat="1">
      <c r="S206" s="617"/>
      <c r="T206" s="619"/>
    </row>
    <row r="207" spans="19:20" s="618" customFormat="1">
      <c r="S207" s="617"/>
      <c r="T207" s="619"/>
    </row>
    <row r="208" spans="19:20" s="618" customFormat="1">
      <c r="S208" s="617"/>
      <c r="T208" s="619"/>
    </row>
    <row r="209" spans="19:20" s="618" customFormat="1">
      <c r="S209" s="617"/>
      <c r="T209" s="619"/>
    </row>
    <row r="210" spans="19:20" s="618" customFormat="1">
      <c r="S210" s="617"/>
      <c r="T210" s="619"/>
    </row>
    <row r="211" spans="19:20" s="618" customFormat="1">
      <c r="S211" s="617"/>
      <c r="T211" s="619"/>
    </row>
    <row r="212" spans="19:20" s="618" customFormat="1">
      <c r="S212" s="617"/>
      <c r="T212" s="619"/>
    </row>
    <row r="213" spans="19:20" s="618" customFormat="1">
      <c r="S213" s="617"/>
      <c r="T213" s="619"/>
    </row>
    <row r="214" spans="19:20" s="618" customFormat="1">
      <c r="S214" s="617"/>
      <c r="T214" s="619"/>
    </row>
    <row r="215" spans="19:20" s="618" customFormat="1">
      <c r="S215" s="617"/>
      <c r="T215" s="619"/>
    </row>
    <row r="216" spans="19:20" s="618" customFormat="1">
      <c r="S216" s="617"/>
      <c r="T216" s="619"/>
    </row>
    <row r="217" spans="19:20" s="618" customFormat="1">
      <c r="S217" s="617"/>
      <c r="T217" s="619"/>
    </row>
    <row r="218" spans="19:20" s="618" customFormat="1">
      <c r="S218" s="617"/>
      <c r="T218" s="619"/>
    </row>
    <row r="219" spans="19:20" s="618" customFormat="1">
      <c r="S219" s="617"/>
      <c r="T219" s="619"/>
    </row>
    <row r="220" spans="19:20" s="618" customFormat="1">
      <c r="S220" s="617"/>
      <c r="T220" s="619"/>
    </row>
    <row r="221" spans="19:20" s="618" customFormat="1">
      <c r="S221" s="617"/>
      <c r="T221" s="619"/>
    </row>
    <row r="222" spans="19:20" s="618" customFormat="1">
      <c r="S222" s="617"/>
      <c r="T222" s="619"/>
    </row>
    <row r="223" spans="19:20" s="618" customFormat="1">
      <c r="S223" s="617"/>
      <c r="T223" s="619"/>
    </row>
    <row r="224" spans="19:20" s="618" customFormat="1">
      <c r="S224" s="617"/>
      <c r="T224" s="619"/>
    </row>
    <row r="225" spans="19:20" s="618" customFormat="1">
      <c r="S225" s="617"/>
      <c r="T225" s="619"/>
    </row>
    <row r="226" spans="19:20" s="618" customFormat="1">
      <c r="S226" s="617"/>
      <c r="T226" s="619"/>
    </row>
    <row r="227" spans="19:20" s="618" customFormat="1">
      <c r="S227" s="617"/>
      <c r="T227" s="619"/>
    </row>
    <row r="228" spans="19:20" s="618" customFormat="1">
      <c r="S228" s="617"/>
      <c r="T228" s="619"/>
    </row>
    <row r="229" spans="19:20" s="618" customFormat="1">
      <c r="S229" s="617"/>
      <c r="T229" s="619"/>
    </row>
    <row r="230" spans="19:20" s="618" customFormat="1">
      <c r="S230" s="617"/>
      <c r="T230" s="619"/>
    </row>
    <row r="231" spans="19:20" s="618" customFormat="1">
      <c r="S231" s="617"/>
      <c r="T231" s="619"/>
    </row>
    <row r="232" spans="19:20" s="618" customFormat="1">
      <c r="S232" s="617"/>
      <c r="T232" s="619"/>
    </row>
    <row r="233" spans="19:20" s="618" customFormat="1">
      <c r="S233" s="617"/>
      <c r="T233" s="619"/>
    </row>
    <row r="234" spans="19:20" s="618" customFormat="1">
      <c r="S234" s="617"/>
      <c r="T234" s="619"/>
    </row>
    <row r="235" spans="19:20" s="618" customFormat="1">
      <c r="S235" s="617"/>
      <c r="T235" s="619"/>
    </row>
    <row r="236" spans="19:20" s="618" customFormat="1">
      <c r="S236" s="617"/>
      <c r="T236" s="619"/>
    </row>
    <row r="237" spans="19:20" s="618" customFormat="1">
      <c r="S237" s="617"/>
      <c r="T237" s="619"/>
    </row>
    <row r="238" spans="19:20" s="618" customFormat="1">
      <c r="S238" s="617"/>
      <c r="T238" s="619"/>
    </row>
    <row r="239" spans="19:20" s="618" customFormat="1">
      <c r="S239" s="617"/>
      <c r="T239" s="619"/>
    </row>
    <row r="240" spans="19:20" s="618" customFormat="1">
      <c r="S240" s="617"/>
      <c r="T240" s="619"/>
    </row>
    <row r="241" spans="19:20" s="618" customFormat="1">
      <c r="S241" s="617"/>
      <c r="T241" s="619"/>
    </row>
    <row r="242" spans="19:20" s="618" customFormat="1">
      <c r="S242" s="617"/>
      <c r="T242" s="619"/>
    </row>
    <row r="243" spans="19:20" s="618" customFormat="1">
      <c r="S243" s="617"/>
      <c r="T243" s="619"/>
    </row>
    <row r="244" spans="19:20" s="618" customFormat="1">
      <c r="S244" s="617"/>
      <c r="T244" s="619"/>
    </row>
    <row r="245" spans="19:20" s="618" customFormat="1">
      <c r="S245" s="617"/>
      <c r="T245" s="619"/>
    </row>
    <row r="246" spans="19:20" s="618" customFormat="1">
      <c r="S246" s="617"/>
      <c r="T246" s="619"/>
    </row>
    <row r="247" spans="19:20" s="618" customFormat="1">
      <c r="S247" s="617"/>
      <c r="T247" s="619"/>
    </row>
    <row r="248" spans="19:20" s="618" customFormat="1">
      <c r="S248" s="617"/>
      <c r="T248" s="619"/>
    </row>
    <row r="249" spans="19:20" s="618" customFormat="1">
      <c r="S249" s="617"/>
      <c r="T249" s="619"/>
    </row>
    <row r="250" spans="19:20" s="618" customFormat="1">
      <c r="S250" s="617"/>
      <c r="T250" s="619"/>
    </row>
    <row r="251" spans="19:20" s="618" customFormat="1">
      <c r="S251" s="617"/>
      <c r="T251" s="619"/>
    </row>
    <row r="252" spans="19:20" s="618" customFormat="1">
      <c r="S252" s="617"/>
      <c r="T252" s="619"/>
    </row>
    <row r="253" spans="19:20" s="618" customFormat="1">
      <c r="S253" s="617"/>
      <c r="T253" s="619"/>
    </row>
    <row r="254" spans="19:20" s="618" customFormat="1">
      <c r="S254" s="617"/>
      <c r="T254" s="619"/>
    </row>
    <row r="255" spans="19:20" s="618" customFormat="1">
      <c r="S255" s="617"/>
      <c r="T255" s="619"/>
    </row>
    <row r="256" spans="19:20" s="618" customFormat="1">
      <c r="S256" s="617"/>
      <c r="T256" s="619"/>
    </row>
    <row r="257" spans="19:20" s="618" customFormat="1">
      <c r="S257" s="617"/>
      <c r="T257" s="619"/>
    </row>
    <row r="258" spans="19:20" s="618" customFormat="1">
      <c r="S258" s="617"/>
      <c r="T258" s="619"/>
    </row>
    <row r="259" spans="19:20" s="618" customFormat="1">
      <c r="S259" s="617"/>
      <c r="T259" s="619"/>
    </row>
    <row r="260" spans="19:20" s="618" customFormat="1">
      <c r="S260" s="617"/>
      <c r="T260" s="619"/>
    </row>
    <row r="261" spans="19:20" s="618" customFormat="1">
      <c r="S261" s="617"/>
      <c r="T261" s="619"/>
    </row>
    <row r="262" spans="19:20" s="618" customFormat="1">
      <c r="S262" s="617"/>
      <c r="T262" s="619"/>
    </row>
    <row r="263" spans="19:20" s="618" customFormat="1">
      <c r="S263" s="617"/>
      <c r="T263" s="619"/>
    </row>
    <row r="264" spans="19:20" s="618" customFormat="1">
      <c r="S264" s="617"/>
      <c r="T264" s="619"/>
    </row>
    <row r="265" spans="19:20" s="618" customFormat="1">
      <c r="S265" s="617"/>
      <c r="T265" s="619"/>
    </row>
    <row r="266" spans="19:20" s="618" customFormat="1">
      <c r="S266" s="617"/>
      <c r="T266" s="619"/>
    </row>
    <row r="267" spans="19:20" s="618" customFormat="1">
      <c r="S267" s="617"/>
      <c r="T267" s="619"/>
    </row>
    <row r="268" spans="19:20" s="618" customFormat="1">
      <c r="S268" s="617"/>
      <c r="T268" s="619"/>
    </row>
    <row r="269" spans="19:20" s="618" customFormat="1">
      <c r="S269" s="617"/>
      <c r="T269" s="619"/>
    </row>
    <row r="270" spans="19:20" s="618" customFormat="1">
      <c r="S270" s="617"/>
      <c r="T270" s="619"/>
    </row>
    <row r="271" spans="19:20" s="618" customFormat="1">
      <c r="S271" s="617"/>
      <c r="T271" s="619"/>
    </row>
    <row r="272" spans="19:20" s="618" customFormat="1">
      <c r="S272" s="617"/>
      <c r="T272" s="619"/>
    </row>
    <row r="273" spans="19:20" s="618" customFormat="1">
      <c r="S273" s="617"/>
      <c r="T273" s="619"/>
    </row>
    <row r="274" spans="19:20" s="618" customFormat="1">
      <c r="S274" s="617"/>
      <c r="T274" s="619"/>
    </row>
    <row r="275" spans="19:20" s="618" customFormat="1">
      <c r="S275" s="617"/>
      <c r="T275" s="619"/>
    </row>
    <row r="276" spans="19:20" s="618" customFormat="1">
      <c r="S276" s="617"/>
      <c r="T276" s="619"/>
    </row>
    <row r="277" spans="19:20" s="618" customFormat="1">
      <c r="S277" s="617"/>
      <c r="T277" s="619"/>
    </row>
    <row r="278" spans="19:20" s="618" customFormat="1">
      <c r="S278" s="617"/>
      <c r="T278" s="619"/>
    </row>
    <row r="279" spans="19:20" s="618" customFormat="1">
      <c r="S279" s="617"/>
      <c r="T279" s="619"/>
    </row>
    <row r="280" spans="19:20" s="618" customFormat="1">
      <c r="S280" s="617"/>
      <c r="T280" s="619"/>
    </row>
    <row r="281" spans="19:20" s="618" customFormat="1">
      <c r="S281" s="617"/>
      <c r="T281" s="619"/>
    </row>
    <row r="282" spans="19:20" s="618" customFormat="1">
      <c r="S282" s="617"/>
      <c r="T282" s="619"/>
    </row>
    <row r="283" spans="19:20" s="618" customFormat="1">
      <c r="S283" s="617"/>
      <c r="T283" s="619"/>
    </row>
    <row r="284" spans="19:20" s="618" customFormat="1">
      <c r="S284" s="617"/>
      <c r="T284" s="619"/>
    </row>
    <row r="285" spans="19:20" s="618" customFormat="1">
      <c r="S285" s="617"/>
      <c r="T285" s="619"/>
    </row>
    <row r="286" spans="19:20" s="618" customFormat="1">
      <c r="S286" s="617"/>
      <c r="T286" s="619"/>
    </row>
    <row r="287" spans="19:20" s="618" customFormat="1">
      <c r="S287" s="617"/>
      <c r="T287" s="619"/>
    </row>
    <row r="288" spans="19:20" s="618" customFormat="1">
      <c r="S288" s="617"/>
      <c r="T288" s="619"/>
    </row>
    <row r="289" spans="19:20" s="618" customFormat="1">
      <c r="S289" s="617"/>
      <c r="T289" s="619"/>
    </row>
    <row r="290" spans="19:20" s="618" customFormat="1">
      <c r="S290" s="617"/>
      <c r="T290" s="619"/>
    </row>
    <row r="291" spans="19:20" s="618" customFormat="1">
      <c r="S291" s="617"/>
      <c r="T291" s="619"/>
    </row>
    <row r="292" spans="19:20" s="618" customFormat="1">
      <c r="S292" s="617"/>
      <c r="T292" s="619"/>
    </row>
    <row r="293" spans="19:20" s="618" customFormat="1">
      <c r="S293" s="617"/>
      <c r="T293" s="619"/>
    </row>
    <row r="294" spans="19:20" s="618" customFormat="1">
      <c r="S294" s="617"/>
      <c r="T294" s="619"/>
    </row>
    <row r="295" spans="19:20" s="618" customFormat="1">
      <c r="S295" s="617"/>
      <c r="T295" s="619"/>
    </row>
    <row r="296" spans="19:20" s="618" customFormat="1">
      <c r="S296" s="617"/>
      <c r="T296" s="619"/>
    </row>
    <row r="297" spans="19:20" s="618" customFormat="1">
      <c r="S297" s="617"/>
      <c r="T297" s="619"/>
    </row>
    <row r="298" spans="19:20" s="618" customFormat="1">
      <c r="S298" s="617"/>
      <c r="T298" s="619"/>
    </row>
    <row r="299" spans="19:20" s="618" customFormat="1">
      <c r="S299" s="617"/>
      <c r="T299" s="619"/>
    </row>
    <row r="300" spans="19:20" s="618" customFormat="1">
      <c r="S300" s="617"/>
      <c r="T300" s="619"/>
    </row>
    <row r="301" spans="19:20" s="618" customFormat="1">
      <c r="S301" s="617"/>
      <c r="T301" s="619"/>
    </row>
    <row r="302" spans="19:20" s="618" customFormat="1">
      <c r="S302" s="617"/>
      <c r="T302" s="619"/>
    </row>
    <row r="303" spans="19:20" s="618" customFormat="1">
      <c r="S303" s="617"/>
      <c r="T303" s="619"/>
    </row>
    <row r="304" spans="19:20" s="618" customFormat="1">
      <c r="S304" s="617"/>
      <c r="T304" s="619"/>
    </row>
    <row r="305" spans="19:20" s="618" customFormat="1">
      <c r="S305" s="617"/>
      <c r="T305" s="619"/>
    </row>
    <row r="306" spans="19:20" s="618" customFormat="1">
      <c r="S306" s="617"/>
      <c r="T306" s="619"/>
    </row>
    <row r="307" spans="19:20" s="618" customFormat="1">
      <c r="S307" s="617"/>
      <c r="T307" s="619"/>
    </row>
    <row r="308" spans="19:20" s="618" customFormat="1">
      <c r="S308" s="617"/>
      <c r="T308" s="619"/>
    </row>
    <row r="309" spans="19:20" s="618" customFormat="1">
      <c r="S309" s="617"/>
      <c r="T309" s="619"/>
    </row>
    <row r="310" spans="19:20" s="618" customFormat="1">
      <c r="S310" s="617"/>
      <c r="T310" s="619"/>
    </row>
    <row r="311" spans="19:20" s="618" customFormat="1">
      <c r="S311" s="617"/>
      <c r="T311" s="619"/>
    </row>
    <row r="312" spans="19:20" s="618" customFormat="1">
      <c r="S312" s="617"/>
      <c r="T312" s="619"/>
    </row>
    <row r="313" spans="19:20" s="618" customFormat="1">
      <c r="S313" s="617"/>
      <c r="T313" s="619"/>
    </row>
    <row r="314" spans="19:20" s="618" customFormat="1">
      <c r="S314" s="617"/>
      <c r="T314" s="619"/>
    </row>
    <row r="315" spans="19:20" s="618" customFormat="1">
      <c r="S315" s="617"/>
      <c r="T315" s="619"/>
    </row>
    <row r="316" spans="19:20" s="618" customFormat="1">
      <c r="S316" s="617"/>
      <c r="T316" s="619"/>
    </row>
    <row r="317" spans="19:20" s="618" customFormat="1">
      <c r="S317" s="617"/>
      <c r="T317" s="619"/>
    </row>
    <row r="318" spans="19:20" s="618" customFormat="1">
      <c r="S318" s="617"/>
      <c r="T318" s="619"/>
    </row>
    <row r="319" spans="19:20" s="618" customFormat="1">
      <c r="S319" s="617"/>
      <c r="T319" s="619"/>
    </row>
    <row r="320" spans="19:20" s="618" customFormat="1">
      <c r="S320" s="617"/>
      <c r="T320" s="619"/>
    </row>
    <row r="321" spans="19:20" s="618" customFormat="1">
      <c r="S321" s="617"/>
      <c r="T321" s="619"/>
    </row>
    <row r="322" spans="19:20" s="618" customFormat="1">
      <c r="S322" s="617"/>
      <c r="T322" s="619"/>
    </row>
    <row r="323" spans="19:20" s="618" customFormat="1">
      <c r="S323" s="617"/>
      <c r="T323" s="619"/>
    </row>
    <row r="324" spans="19:20" s="618" customFormat="1">
      <c r="S324" s="617"/>
      <c r="T324" s="619"/>
    </row>
    <row r="325" spans="19:20" s="618" customFormat="1">
      <c r="S325" s="617"/>
      <c r="T325" s="619"/>
    </row>
    <row r="326" spans="19:20" s="618" customFormat="1">
      <c r="S326" s="617"/>
      <c r="T326" s="619"/>
    </row>
    <row r="327" spans="19:20" s="618" customFormat="1">
      <c r="S327" s="617"/>
      <c r="T327" s="619"/>
    </row>
    <row r="328" spans="19:20" s="618" customFormat="1">
      <c r="S328" s="617"/>
      <c r="T328" s="619"/>
    </row>
    <row r="329" spans="19:20" s="618" customFormat="1">
      <c r="S329" s="617"/>
      <c r="T329" s="619"/>
    </row>
    <row r="330" spans="19:20" s="618" customFormat="1">
      <c r="S330" s="617"/>
      <c r="T330" s="619"/>
    </row>
    <row r="331" spans="19:20" s="618" customFormat="1">
      <c r="S331" s="617"/>
      <c r="T331" s="619"/>
    </row>
    <row r="332" spans="19:20" s="618" customFormat="1">
      <c r="S332" s="617"/>
      <c r="T332" s="619"/>
    </row>
    <row r="333" spans="19:20" s="618" customFormat="1">
      <c r="S333" s="617"/>
      <c r="T333" s="619"/>
    </row>
    <row r="334" spans="19:20" s="618" customFormat="1">
      <c r="S334" s="617"/>
      <c r="T334" s="619"/>
    </row>
    <row r="335" spans="19:20" s="618" customFormat="1">
      <c r="S335" s="617"/>
      <c r="T335" s="619"/>
    </row>
    <row r="336" spans="19:20" s="618" customFormat="1">
      <c r="S336" s="617"/>
      <c r="T336" s="619"/>
    </row>
    <row r="337" spans="19:20" s="618" customFormat="1">
      <c r="S337" s="617"/>
      <c r="T337" s="619"/>
    </row>
    <row r="338" spans="19:20" s="618" customFormat="1">
      <c r="S338" s="617"/>
      <c r="T338" s="619"/>
    </row>
    <row r="339" spans="19:20" s="618" customFormat="1">
      <c r="S339" s="617"/>
      <c r="T339" s="619"/>
    </row>
    <row r="340" spans="19:20" s="618" customFormat="1">
      <c r="S340" s="617"/>
      <c r="T340" s="619"/>
    </row>
    <row r="341" spans="19:20" s="618" customFormat="1">
      <c r="S341" s="617"/>
      <c r="T341" s="619"/>
    </row>
    <row r="342" spans="19:20" s="618" customFormat="1">
      <c r="S342" s="617"/>
      <c r="T342" s="619"/>
    </row>
    <row r="343" spans="19:20" s="618" customFormat="1">
      <c r="S343" s="617"/>
      <c r="T343" s="619"/>
    </row>
    <row r="344" spans="19:20" s="618" customFormat="1">
      <c r="S344" s="617"/>
      <c r="T344" s="619"/>
    </row>
    <row r="345" spans="19:20" s="618" customFormat="1">
      <c r="S345" s="617"/>
      <c r="T345" s="619"/>
    </row>
    <row r="346" spans="19:20" s="618" customFormat="1">
      <c r="S346" s="617"/>
      <c r="T346" s="619"/>
    </row>
    <row r="347" spans="19:20" s="618" customFormat="1">
      <c r="S347" s="617"/>
      <c r="T347" s="619"/>
    </row>
    <row r="348" spans="19:20" s="618" customFormat="1">
      <c r="S348" s="617"/>
      <c r="T348" s="619"/>
    </row>
    <row r="349" spans="19:20" s="618" customFormat="1">
      <c r="S349" s="617"/>
      <c r="T349" s="619"/>
    </row>
    <row r="350" spans="19:20" s="618" customFormat="1">
      <c r="S350" s="617"/>
      <c r="T350" s="619"/>
    </row>
    <row r="351" spans="19:20" s="618" customFormat="1">
      <c r="S351" s="617"/>
      <c r="T351" s="619"/>
    </row>
    <row r="352" spans="19:20" s="618" customFormat="1">
      <c r="S352" s="617"/>
      <c r="T352" s="619"/>
    </row>
    <row r="353" spans="19:20" s="618" customFormat="1">
      <c r="S353" s="617"/>
      <c r="T353" s="619"/>
    </row>
    <row r="354" spans="19:20" s="618" customFormat="1">
      <c r="S354" s="617"/>
      <c r="T354" s="619"/>
    </row>
    <row r="355" spans="19:20" s="618" customFormat="1">
      <c r="S355" s="617"/>
      <c r="T355" s="619"/>
    </row>
    <row r="356" spans="19:20" s="618" customFormat="1">
      <c r="S356" s="617"/>
      <c r="T356" s="619"/>
    </row>
    <row r="357" spans="19:20" s="618" customFormat="1">
      <c r="S357" s="617"/>
      <c r="T357" s="619"/>
    </row>
    <row r="358" spans="19:20" s="618" customFormat="1">
      <c r="S358" s="617"/>
      <c r="T358" s="619"/>
    </row>
    <row r="359" spans="19:20" s="618" customFormat="1">
      <c r="S359" s="617"/>
      <c r="T359" s="619"/>
    </row>
    <row r="360" spans="19:20" s="618" customFormat="1">
      <c r="S360" s="617"/>
      <c r="T360" s="619"/>
    </row>
    <row r="361" spans="19:20" s="618" customFormat="1">
      <c r="S361" s="617"/>
      <c r="T361" s="619"/>
    </row>
    <row r="362" spans="19:20" s="618" customFormat="1">
      <c r="S362" s="617"/>
      <c r="T362" s="619"/>
    </row>
  </sheetData>
  <mergeCells count="4">
    <mergeCell ref="D2:G2"/>
    <mergeCell ref="D3:G3"/>
    <mergeCell ref="D181:G181"/>
    <mergeCell ref="D182:G182"/>
  </mergeCells>
  <pageMargins left="0.70866141732283472" right="0.70866141732283472" top="0.78740157480314965" bottom="0.78740157480314965"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101</vt:i4>
      </vt:variant>
    </vt:vector>
  </HeadingPairs>
  <TitlesOfParts>
    <vt:vector size="143" baseType="lpstr">
      <vt:lpstr>Deckblatt</vt:lpstr>
      <vt:lpstr>Zwischenblatt</vt:lpstr>
      <vt:lpstr>Excec_Summary (2)</vt:lpstr>
      <vt:lpstr>001_Eckdaten_AT</vt:lpstr>
      <vt:lpstr>002_Verteilung_Budget</vt:lpstr>
      <vt:lpstr>003_Bet_AT_Saeulen</vt:lpstr>
      <vt:lpstr>003_Bet_AT_Saeulen (2)</vt:lpstr>
      <vt:lpstr>uebb008_ExScience</vt:lpstr>
      <vt:lpstr>Instrumente ERC_MSCA</vt:lpstr>
      <vt:lpstr>uebb_Challenges</vt:lpstr>
      <vt:lpstr>uebb_Challenges_schwerpkte</vt:lpstr>
      <vt:lpstr>uebb_Innov Europe</vt:lpstr>
      <vt:lpstr>Calls_Saeule3</vt:lpstr>
      <vt:lpstr>uebb_Widera</vt:lpstr>
      <vt:lpstr>uebb015_Bet_AT_Orgtypen</vt:lpstr>
      <vt:lpstr>uebb_AT_Orgtypen_KMU</vt:lpstr>
      <vt:lpstr>uebb060_Erfquoten_Orgtypen</vt:lpstr>
      <vt:lpstr>uebb038_Landkarte_Bundeslae</vt:lpstr>
      <vt:lpstr>uebbneu_Factsheet_AT</vt:lpstr>
      <vt:lpstr>uebbneu_Factsheet_Bgl</vt:lpstr>
      <vt:lpstr>uebbneu_Factsheet_Ktn</vt:lpstr>
      <vt:lpstr>uebbneu_Factsheet_Noe</vt:lpstr>
      <vt:lpstr>uebbneu_Factsheet_Ooe</vt:lpstr>
      <vt:lpstr>uebbneu_Factsheet_Sbg</vt:lpstr>
      <vt:lpstr>uebbneu_Factsheet_Stmk</vt:lpstr>
      <vt:lpstr>uebbneu_Factsheet_T</vt:lpstr>
      <vt:lpstr>uebbneu_Factsheet_V</vt:lpstr>
      <vt:lpstr>uebbneu_Factsheet_W</vt:lpstr>
      <vt:lpstr>uebb022_Karte_EU27_Eckdaten_Sta</vt:lpstr>
      <vt:lpstr>uebb24_Betanteile_EU27</vt:lpstr>
      <vt:lpstr>Assoziierte_Bet_€</vt:lpstr>
      <vt:lpstr>Drittstaaten</vt:lpstr>
      <vt:lpstr>zz_Zwischenblatt_Anhang</vt:lpstr>
      <vt:lpstr>Alle_EU27_AT_Programme_Eckdaten</vt:lpstr>
      <vt:lpstr>Alle_EU27_AT_Programme_Einreich</vt:lpstr>
      <vt:lpstr>Alle_AT_Programme_Anteile</vt:lpstr>
      <vt:lpstr>uebb069_Bundesland_Program_Bet</vt:lpstr>
      <vt:lpstr>uebb069_Bundesland_Program_€</vt:lpstr>
      <vt:lpstr>uebb069_Bundesland_Program_ Koo</vt:lpstr>
      <vt:lpstr>uebb058_Eckdaten EU-Mitgliedsta</vt:lpstr>
      <vt:lpstr>uebbneu_Erfolgsquoten_EU28</vt:lpstr>
      <vt:lpstr>zz_Gloss_Struktur</vt:lpstr>
      <vt:lpstr>'Instrumente ERC_MSCA'!AT_ExSc_Datenstand</vt:lpstr>
      <vt:lpstr>uebb_Challenges!AT_ExSc_Datenstand</vt:lpstr>
      <vt:lpstr>'uebb_Innov Europe'!AT_ExSc_Datenstand</vt:lpstr>
      <vt:lpstr>uebb_Widera!AT_ExSc_Datenstand</vt:lpstr>
      <vt:lpstr>AT_ExSc_Datenstand</vt:lpstr>
      <vt:lpstr>'Instrumente ERC_MSCA'!Bet_Anteile_EU_Datenstand</vt:lpstr>
      <vt:lpstr>Bet_Anteile_EU_Datenstand</vt:lpstr>
      <vt:lpstr>'003_Bet_AT_Saeulen (2)'!Bet_AT_Saeulen_Datenstand</vt:lpstr>
      <vt:lpstr>'Instrumente ERC_MSCA'!Bet_AT_Saeulen_Datenstand</vt:lpstr>
      <vt:lpstr>Bet_AT_Saeulen_Datenstand</vt:lpstr>
      <vt:lpstr>'Instrumente ERC_MSCA'!BL_FactSheet_Bundesland</vt:lpstr>
      <vt:lpstr>uebbneu_Factsheet_Bgl!BL_FactSheet_Bundesland</vt:lpstr>
      <vt:lpstr>uebbneu_Factsheet_Ktn!BL_FactSheet_Bundesland</vt:lpstr>
      <vt:lpstr>uebbneu_Factsheet_Noe!BL_FactSheet_Bundesland</vt:lpstr>
      <vt:lpstr>uebbneu_Factsheet_Ooe!BL_FactSheet_Bundesland</vt:lpstr>
      <vt:lpstr>uebbneu_Factsheet_Sbg!BL_FactSheet_Bundesland</vt:lpstr>
      <vt:lpstr>uebbneu_Factsheet_Stmk!BL_FactSheet_Bundesland</vt:lpstr>
      <vt:lpstr>uebbneu_Factsheet_T!BL_FactSheet_Bundesland</vt:lpstr>
      <vt:lpstr>uebbneu_Factsheet_V!BL_FactSheet_Bundesland</vt:lpstr>
      <vt:lpstr>uebbneu_Factsheet_W!BL_FactSheet_Bundesland</vt:lpstr>
      <vt:lpstr>BL_FactSheet_Bundesland</vt:lpstr>
      <vt:lpstr>Drittstaaten!Datenstand</vt:lpstr>
      <vt:lpstr>'Instrumente ERC_MSCA'!Datenstand</vt:lpstr>
      <vt:lpstr>Datenstand</vt:lpstr>
      <vt:lpstr>'001_Eckdaten_AT'!Druckbereich</vt:lpstr>
      <vt:lpstr>'002_Verteilung_Budget'!Druckbereich</vt:lpstr>
      <vt:lpstr>'003_Bet_AT_Saeulen'!Druckbereich</vt:lpstr>
      <vt:lpstr>'003_Bet_AT_Saeulen (2)'!Druckbereich</vt:lpstr>
      <vt:lpstr>Assoziierte_Bet_€!Druckbereich</vt:lpstr>
      <vt:lpstr>Calls_Saeule3!Druckbereich</vt:lpstr>
      <vt:lpstr>Deckblatt!Druckbereich</vt:lpstr>
      <vt:lpstr>Drittstaaten!Druckbereich</vt:lpstr>
      <vt:lpstr>'Excec_Summary (2)'!Druckbereich</vt:lpstr>
      <vt:lpstr>'Instrumente ERC_MSCA'!Druckbereich</vt:lpstr>
      <vt:lpstr>uebb_AT_Orgtypen_KMU!Druckbereich</vt:lpstr>
      <vt:lpstr>uebb_Challenges!Druckbereich</vt:lpstr>
      <vt:lpstr>uebb_Challenges_schwerpkte!Druckbereich</vt:lpstr>
      <vt:lpstr>'uebb_Innov Europe'!Druckbereich</vt:lpstr>
      <vt:lpstr>uebb_Widera!Druckbereich</vt:lpstr>
      <vt:lpstr>uebb008_ExScience!Druckbereich</vt:lpstr>
      <vt:lpstr>uebb015_Bet_AT_Orgtypen!Druckbereich</vt:lpstr>
      <vt:lpstr>uebb022_Karte_EU27_Eckdaten_Sta!Druckbereich</vt:lpstr>
      <vt:lpstr>uebb038_Landkarte_Bundeslae!Druckbereich</vt:lpstr>
      <vt:lpstr>'uebb058_Eckdaten EU-Mitgliedsta'!Druckbereich</vt:lpstr>
      <vt:lpstr>uebb060_Erfquoten_Orgtypen!Druckbereich</vt:lpstr>
      <vt:lpstr>'uebb069_Bundesland_Program_ Koo'!Druckbereich</vt:lpstr>
      <vt:lpstr>uebb069_Bundesland_Program_€!Druckbereich</vt:lpstr>
      <vt:lpstr>uebb069_Bundesland_Program_Bet!Druckbereich</vt:lpstr>
      <vt:lpstr>uebb24_Betanteile_EU27!Druckbereich</vt:lpstr>
      <vt:lpstr>uebbneu_Erfolgsquoten_EU28!Druckbereich</vt:lpstr>
      <vt:lpstr>uebbneu_Factsheet_AT!Druckbereich</vt:lpstr>
      <vt:lpstr>uebbneu_Factsheet_Bgl!Druckbereich</vt:lpstr>
      <vt:lpstr>uebbneu_Factsheet_Ktn!Druckbereich</vt:lpstr>
      <vt:lpstr>uebbneu_Factsheet_Noe!Druckbereich</vt:lpstr>
      <vt:lpstr>uebbneu_Factsheet_Ooe!Druckbereich</vt:lpstr>
      <vt:lpstr>uebbneu_Factsheet_Sbg!Druckbereich</vt:lpstr>
      <vt:lpstr>uebbneu_Factsheet_Stmk!Druckbereich</vt:lpstr>
      <vt:lpstr>uebbneu_Factsheet_T!Druckbereich</vt:lpstr>
      <vt:lpstr>uebbneu_Factsheet_V!Druckbereich</vt:lpstr>
      <vt:lpstr>uebbneu_Factsheet_W!Druckbereich</vt:lpstr>
      <vt:lpstr>Zwischenblatt!Druckbereich</vt:lpstr>
      <vt:lpstr>zz_Gloss_Struktur!Druckbereich</vt:lpstr>
      <vt:lpstr>zz_Zwischenblatt_Anhang!Druckbereich</vt:lpstr>
      <vt:lpstr>'002_Verteilung_Budget'!Print_Area</vt:lpstr>
      <vt:lpstr>'003_Bet_AT_Saeulen'!Print_Area</vt:lpstr>
      <vt:lpstr>'003_Bet_AT_Saeulen (2)'!Print_Area</vt:lpstr>
      <vt:lpstr>Alle_AT_Programme_Anteile!Print_Area</vt:lpstr>
      <vt:lpstr>Alle_EU27_AT_Programme_Eckdaten!Print_Area</vt:lpstr>
      <vt:lpstr>Alle_EU27_AT_Programme_Einreich!Print_Area</vt:lpstr>
      <vt:lpstr>Assoziierte_Bet_€!Print_Area</vt:lpstr>
      <vt:lpstr>Deckblatt!Print_Area</vt:lpstr>
      <vt:lpstr>Drittstaaten!Print_Area</vt:lpstr>
      <vt:lpstr>'Excec_Summary (2)'!Print_Area</vt:lpstr>
      <vt:lpstr>uebb_AT_Orgtypen_KMU!Print_Area</vt:lpstr>
      <vt:lpstr>uebb_Challenges!Print_Area</vt:lpstr>
      <vt:lpstr>'uebb_Innov Europe'!Print_Area</vt:lpstr>
      <vt:lpstr>uebb_Widera!Print_Area</vt:lpstr>
      <vt:lpstr>uebb008_ExScience!Print_Area</vt:lpstr>
      <vt:lpstr>uebb015_Bet_AT_Orgtypen!Print_Area</vt:lpstr>
      <vt:lpstr>uebb022_Karte_EU27_Eckdaten_Sta!Print_Area</vt:lpstr>
      <vt:lpstr>uebb038_Landkarte_Bundeslae!Print_Area</vt:lpstr>
      <vt:lpstr>'uebb058_Eckdaten EU-Mitgliedsta'!Print_Area</vt:lpstr>
      <vt:lpstr>uebb060_Erfquoten_Orgtypen!Print_Area</vt:lpstr>
      <vt:lpstr>'uebb069_Bundesland_Program_ Koo'!Print_Area</vt:lpstr>
      <vt:lpstr>uebb069_Bundesland_Program_€!Print_Area</vt:lpstr>
      <vt:lpstr>uebb069_Bundesland_Program_Bet!Print_Area</vt:lpstr>
      <vt:lpstr>uebb24_Betanteile_EU27!Print_Area</vt:lpstr>
      <vt:lpstr>uebbneu_Erfolgsquoten_EU28!Print_Area</vt:lpstr>
      <vt:lpstr>uebbneu_Factsheet_AT!Print_Area</vt:lpstr>
      <vt:lpstr>uebbneu_Factsheet_Bgl!Print_Area</vt:lpstr>
      <vt:lpstr>uebbneu_Factsheet_Ktn!Print_Area</vt:lpstr>
      <vt:lpstr>uebbneu_Factsheet_Noe!Print_Area</vt:lpstr>
      <vt:lpstr>uebbneu_Factsheet_Ooe!Print_Area</vt:lpstr>
      <vt:lpstr>uebbneu_Factsheet_Sbg!Print_Area</vt:lpstr>
      <vt:lpstr>uebbneu_Factsheet_Stmk!Print_Area</vt:lpstr>
      <vt:lpstr>uebbneu_Factsheet_T!Print_Area</vt:lpstr>
      <vt:lpstr>uebbneu_Factsheet_V!Print_Area</vt:lpstr>
      <vt:lpstr>uebbneu_Factsheet_W!Print_Area</vt:lpstr>
      <vt:lpstr>Zwischenblatt!Print_Area</vt:lpstr>
      <vt:lpstr>zz_Gloss_Struktur!Print_Area</vt:lpstr>
      <vt:lpstr>zz_Zwischenblatt_Anhang!Print_Area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 Cockpitbericht</dc:title>
  <dc:creator>Ingrid Putz</dc:creator>
  <cp:lastModifiedBy>Ingrid Putz</cp:lastModifiedBy>
  <cp:revision>7610</cp:revision>
  <cp:lastPrinted>2026-07-01T07:00:43Z</cp:lastPrinted>
  <dcterms:created xsi:type="dcterms:W3CDTF">2017-06-20T10:15:45Z</dcterms:created>
  <dcterms:modified xsi:type="dcterms:W3CDTF">2026-07-01T07:05:23Z</dcterms:modified>
  <cp:version>5.1.4.7610</cp:version>
</cp:coreProperties>
</file>